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lmiragonzalez\Documents\Site\Federalizados\Ejercicio2018\ajustes\"/>
    </mc:Choice>
  </mc:AlternateContent>
  <bookViews>
    <workbookView xWindow="0" yWindow="0" windowWidth="21570" windowHeight="814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veryHidden" r:id="rId8"/>
    <sheet name="CENSO (2)" sheetId="14" state="veryHidden" r:id="rId9"/>
  </sheets>
  <externalReferences>
    <externalReference r:id="rId10"/>
  </externalReferences>
  <definedNames>
    <definedName name="_xlnm.Print_Area" localSheetId="7">Datos!$B$4:$M$83</definedName>
    <definedName name="_xlnm.Print_Area" localSheetId="1">DEFINITIVAS!$A$1:$K$33</definedName>
    <definedName name="_xlnm.Print_Area" localSheetId="4">FFM!$A$1:$M$58</definedName>
    <definedName name="_xlnm.Print_Area" localSheetId="3">FGP!$B$2:$S$34</definedName>
    <definedName name="_xlnm.Print_Area" localSheetId="6">FOFIR!$A$1:$H$29</definedName>
    <definedName name="_xlnm.Print_Area" localSheetId="0">PROVISIONALES!$A$1:$K$32</definedName>
    <definedName name="_xlnm.Print_Area" localSheetId="2">'SALDO AJUSTES'!$A$1:$D$32</definedName>
  </definedNames>
  <calcPr calcId="152511"/>
</workbook>
</file>

<file path=xl/calcChain.xml><?xml version="1.0" encoding="utf-8"?>
<calcChain xmlns="http://schemas.openxmlformats.org/spreadsheetml/2006/main">
  <c r="H27" i="5" l="1"/>
  <c r="E29" i="5"/>
  <c r="D10" i="5" s="1"/>
  <c r="G29" i="5"/>
  <c r="F10" i="5" s="1"/>
  <c r="I29" i="5"/>
  <c r="H10" i="5" s="1"/>
  <c r="C29" i="5"/>
  <c r="B12" i="5" s="1"/>
  <c r="B15" i="5"/>
  <c r="B21" i="5"/>
  <c r="B25" i="5"/>
  <c r="B9" i="5"/>
  <c r="H12" i="6"/>
  <c r="H28" i="6"/>
  <c r="I30" i="6"/>
  <c r="H11" i="6" s="1"/>
  <c r="G30" i="6"/>
  <c r="F11" i="6" s="1"/>
  <c r="E30" i="6"/>
  <c r="D12" i="6" s="1"/>
  <c r="D13" i="6"/>
  <c r="D15" i="6"/>
  <c r="D18" i="6"/>
  <c r="D21" i="6"/>
  <c r="D23" i="6"/>
  <c r="D26" i="6"/>
  <c r="D27" i="6"/>
  <c r="D29" i="6"/>
  <c r="B23" i="6"/>
  <c r="B12" i="6"/>
  <c r="C30" i="6"/>
  <c r="B14" i="6" s="1"/>
  <c r="F22" i="6" l="1"/>
  <c r="B15" i="6"/>
  <c r="F28" i="6"/>
  <c r="F18" i="6"/>
  <c r="B27" i="6"/>
  <c r="F26" i="6"/>
  <c r="F14" i="6"/>
  <c r="H20" i="6"/>
  <c r="F12" i="6"/>
  <c r="B19" i="6"/>
  <c r="F10" i="6"/>
  <c r="F20" i="6"/>
  <c r="B29" i="6"/>
  <c r="B25" i="6"/>
  <c r="B21" i="6"/>
  <c r="B17" i="6"/>
  <c r="B13" i="6"/>
  <c r="H24" i="6"/>
  <c r="H16" i="6"/>
  <c r="B10" i="6"/>
  <c r="B28" i="6"/>
  <c r="B24" i="6"/>
  <c r="B20" i="6"/>
  <c r="B16" i="6"/>
  <c r="D10" i="6"/>
  <c r="D25" i="6"/>
  <c r="D19" i="6"/>
  <c r="D14" i="6"/>
  <c r="F24" i="6"/>
  <c r="F16" i="6"/>
  <c r="H10" i="6"/>
  <c r="H22" i="6"/>
  <c r="H14" i="6"/>
  <c r="B11" i="6"/>
  <c r="B26" i="6"/>
  <c r="B22" i="6"/>
  <c r="B18" i="6"/>
  <c r="D22" i="6"/>
  <c r="D17" i="6"/>
  <c r="D11" i="6"/>
  <c r="H26" i="6"/>
  <c r="H18" i="6"/>
  <c r="B27" i="5"/>
  <c r="B19" i="5"/>
  <c r="B23" i="5"/>
  <c r="B11" i="5"/>
  <c r="H17" i="5"/>
  <c r="D27" i="5"/>
  <c r="H25" i="5"/>
  <c r="H15" i="5"/>
  <c r="D19" i="5"/>
  <c r="H23" i="5"/>
  <c r="H11" i="5"/>
  <c r="D11" i="5"/>
  <c r="H19" i="5"/>
  <c r="B26" i="5"/>
  <c r="B22" i="5"/>
  <c r="B18" i="5"/>
  <c r="B14" i="5"/>
  <c r="B10" i="5"/>
  <c r="D15" i="5"/>
  <c r="B17" i="5"/>
  <c r="B13" i="5"/>
  <c r="B28" i="5"/>
  <c r="B24" i="5"/>
  <c r="B20" i="5"/>
  <c r="B16" i="5"/>
  <c r="D23" i="5"/>
  <c r="H9" i="5"/>
  <c r="H21" i="5"/>
  <c r="H13"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9" i="6"/>
  <c r="H25" i="6"/>
  <c r="H21" i="6"/>
  <c r="H17" i="6"/>
  <c r="H13" i="6"/>
  <c r="H27" i="6"/>
  <c r="H23" i="6"/>
  <c r="H19" i="6"/>
  <c r="H15" i="6"/>
  <c r="F29" i="6"/>
  <c r="F25" i="6"/>
  <c r="F21" i="6"/>
  <c r="F17" i="6"/>
  <c r="F13" i="6"/>
  <c r="F27" i="6"/>
  <c r="F23" i="6"/>
  <c r="F19" i="6"/>
  <c r="F15" i="6"/>
  <c r="D28" i="6"/>
  <c r="D24" i="6"/>
  <c r="D20" i="6"/>
  <c r="D16" i="6"/>
  <c r="F29" i="5" l="1"/>
  <c r="H29" i="5"/>
  <c r="D29" i="5" l="1"/>
  <c r="C30" i="14" l="1"/>
  <c r="U113" i="13"/>
  <c r="T113" i="13"/>
  <c r="T110" i="13"/>
  <c r="R110" i="13"/>
  <c r="R113" i="13" s="1"/>
  <c r="Q110" i="13"/>
  <c r="Q113" i="13" s="1"/>
  <c r="O110" i="13"/>
  <c r="N110" i="13"/>
  <c r="P110" i="13" s="1"/>
  <c r="K110" i="13"/>
  <c r="I110" i="13"/>
  <c r="H110" i="13"/>
  <c r="G110" i="13"/>
  <c r="E110" i="13"/>
  <c r="D110" i="13"/>
  <c r="F110" i="13" s="1"/>
  <c r="V109" i="13"/>
  <c r="AA109" i="13" s="1"/>
  <c r="S109" i="13"/>
  <c r="P109" i="13"/>
  <c r="L109" i="13"/>
  <c r="M109" i="13" s="1"/>
  <c r="J109" i="13"/>
  <c r="I109" i="13"/>
  <c r="F109" i="13"/>
  <c r="V108" i="13"/>
  <c r="AA108" i="13" s="1"/>
  <c r="S108" i="13"/>
  <c r="W108" i="13" s="1"/>
  <c r="P108" i="13"/>
  <c r="L108" i="13"/>
  <c r="M108" i="13" s="1"/>
  <c r="J108" i="13"/>
  <c r="I108" i="13"/>
  <c r="F108" i="13"/>
  <c r="V107" i="13"/>
  <c r="S107" i="13"/>
  <c r="P107" i="13"/>
  <c r="M107" i="13"/>
  <c r="L107" i="13"/>
  <c r="I107" i="13"/>
  <c r="J107" i="13" s="1"/>
  <c r="F107" i="13"/>
  <c r="V106" i="13"/>
  <c r="AA106" i="13" s="1"/>
  <c r="S106" i="13"/>
  <c r="P106" i="13"/>
  <c r="M106" i="13"/>
  <c r="L106" i="13"/>
  <c r="I106" i="13"/>
  <c r="J106" i="13" s="1"/>
  <c r="F106" i="13"/>
  <c r="V105" i="13"/>
  <c r="AA105" i="13" s="1"/>
  <c r="S105" i="13"/>
  <c r="P105" i="13"/>
  <c r="L105" i="13"/>
  <c r="M105" i="13" s="1"/>
  <c r="J105" i="13"/>
  <c r="I105" i="13"/>
  <c r="F105" i="13"/>
  <c r="V104" i="13"/>
  <c r="AA104" i="13" s="1"/>
  <c r="S104" i="13"/>
  <c r="W104" i="13" s="1"/>
  <c r="P104" i="13"/>
  <c r="L104" i="13"/>
  <c r="M104" i="13" s="1"/>
  <c r="J104" i="13"/>
  <c r="I104" i="13"/>
  <c r="F104" i="13"/>
  <c r="V103" i="13"/>
  <c r="S103" i="13"/>
  <c r="P103" i="13"/>
  <c r="M103" i="13"/>
  <c r="L103" i="13"/>
  <c r="I103" i="13"/>
  <c r="J103" i="13" s="1"/>
  <c r="F103" i="13"/>
  <c r="V102" i="13"/>
  <c r="AA102" i="13" s="1"/>
  <c r="S102" i="13"/>
  <c r="P102" i="13"/>
  <c r="M102" i="13"/>
  <c r="L102" i="13"/>
  <c r="I102" i="13"/>
  <c r="J102" i="13" s="1"/>
  <c r="F102" i="13"/>
  <c r="V101" i="13"/>
  <c r="AA101" i="13" s="1"/>
  <c r="S101" i="13"/>
  <c r="P101" i="13"/>
  <c r="L101" i="13"/>
  <c r="M101" i="13" s="1"/>
  <c r="J101" i="13"/>
  <c r="I101" i="13"/>
  <c r="F101" i="13"/>
  <c r="V100" i="13"/>
  <c r="AA100" i="13" s="1"/>
  <c r="S100" i="13"/>
  <c r="W100" i="13" s="1"/>
  <c r="P100" i="13"/>
  <c r="L100" i="13"/>
  <c r="M100" i="13" s="1"/>
  <c r="J100" i="13"/>
  <c r="I100" i="13"/>
  <c r="F100" i="13"/>
  <c r="V99" i="13"/>
  <c r="S99" i="13"/>
  <c r="P99" i="13"/>
  <c r="M99" i="13"/>
  <c r="L99" i="13"/>
  <c r="I99" i="13"/>
  <c r="J99" i="13" s="1"/>
  <c r="F99" i="13"/>
  <c r="V98" i="13"/>
  <c r="AA98" i="13" s="1"/>
  <c r="S98" i="13"/>
  <c r="P98" i="13"/>
  <c r="M98" i="13"/>
  <c r="L98" i="13"/>
  <c r="I98" i="13"/>
  <c r="J98" i="13" s="1"/>
  <c r="F98" i="13"/>
  <c r="V97" i="13"/>
  <c r="AA97" i="13" s="1"/>
  <c r="S97" i="13"/>
  <c r="P97" i="13"/>
  <c r="L97" i="13"/>
  <c r="M97" i="13" s="1"/>
  <c r="J97" i="13"/>
  <c r="I97" i="13"/>
  <c r="F97" i="13"/>
  <c r="V96" i="13"/>
  <c r="AA96" i="13" s="1"/>
  <c r="S96" i="13"/>
  <c r="W96" i="13" s="1"/>
  <c r="P96" i="13"/>
  <c r="L96" i="13"/>
  <c r="M96" i="13" s="1"/>
  <c r="J96" i="13"/>
  <c r="I96" i="13"/>
  <c r="F96" i="13"/>
  <c r="V95" i="13"/>
  <c r="S95" i="13"/>
  <c r="P95" i="13"/>
  <c r="M95" i="13"/>
  <c r="L95" i="13"/>
  <c r="I95" i="13"/>
  <c r="J95" i="13" s="1"/>
  <c r="F95" i="13"/>
  <c r="V94" i="13"/>
  <c r="AA94" i="13" s="1"/>
  <c r="S94" i="13"/>
  <c r="P94" i="13"/>
  <c r="M94" i="13"/>
  <c r="L94" i="13"/>
  <c r="I94" i="13"/>
  <c r="J94" i="13" s="1"/>
  <c r="F94" i="13"/>
  <c r="V93" i="13"/>
  <c r="AA93" i="13" s="1"/>
  <c r="S93" i="13"/>
  <c r="P93" i="13"/>
  <c r="L93" i="13"/>
  <c r="M93" i="13" s="1"/>
  <c r="J93" i="13"/>
  <c r="I93" i="13"/>
  <c r="F93" i="13"/>
  <c r="V92" i="13"/>
  <c r="AA92" i="13" s="1"/>
  <c r="S92" i="13"/>
  <c r="W92" i="13" s="1"/>
  <c r="P92" i="13"/>
  <c r="L92" i="13"/>
  <c r="M92" i="13" s="1"/>
  <c r="J92" i="13"/>
  <c r="I92" i="13"/>
  <c r="F92" i="13"/>
  <c r="V91" i="13"/>
  <c r="S91" i="13"/>
  <c r="P91" i="13"/>
  <c r="M91" i="13"/>
  <c r="L91" i="13"/>
  <c r="I91" i="13"/>
  <c r="J91" i="13" s="1"/>
  <c r="F91" i="13"/>
  <c r="V90" i="13"/>
  <c r="AA90" i="13" s="1"/>
  <c r="S90" i="13"/>
  <c r="S110" i="13" s="1"/>
  <c r="P90" i="13"/>
  <c r="M90" i="13"/>
  <c r="L90" i="13"/>
  <c r="L110" i="13" s="1"/>
  <c r="M110" i="13" s="1"/>
  <c r="I90" i="13"/>
  <c r="J90" i="13" s="1"/>
  <c r="F90" i="13"/>
  <c r="J79" i="13"/>
  <c r="I79" i="13"/>
  <c r="I78" i="13"/>
  <c r="J78" i="13" s="1"/>
  <c r="J77" i="13"/>
  <c r="I77" i="13"/>
  <c r="I80" i="13" s="1"/>
  <c r="J69" i="13"/>
  <c r="I69" i="13"/>
  <c r="I68" i="13"/>
  <c r="J68" i="13" s="1"/>
  <c r="J67" i="13"/>
  <c r="J70" i="13" s="1"/>
  <c r="I67" i="13"/>
  <c r="I70" i="13" s="1"/>
  <c r="K58" i="13"/>
  <c r="K60" i="13" s="1"/>
  <c r="O56" i="13"/>
  <c r="O55" i="13"/>
  <c r="K55" i="13"/>
  <c r="I55" i="13"/>
  <c r="I54" i="13"/>
  <c r="I53" i="13"/>
  <c r="K50" i="13"/>
  <c r="L49" i="13"/>
  <c r="L50" i="13" s="1"/>
  <c r="K45" i="13"/>
  <c r="K40" i="13"/>
  <c r="K35" i="13"/>
  <c r="I35" i="13"/>
  <c r="I34" i="13"/>
  <c r="M33" i="13"/>
  <c r="H27" i="12" s="1"/>
  <c r="I33" i="13"/>
  <c r="L28" i="13"/>
  <c r="L27" i="13"/>
  <c r="K27" i="13"/>
  <c r="K24" i="13"/>
  <c r="K25" i="13" s="1"/>
  <c r="K26" i="13" s="1"/>
  <c r="K28" i="13" s="1"/>
  <c r="I19" i="13"/>
  <c r="I13" i="13"/>
  <c r="N12" i="13"/>
  <c r="I12" i="13"/>
  <c r="K11" i="13"/>
  <c r="L10" i="13"/>
  <c r="M9" i="13"/>
  <c r="M10" i="13" s="1"/>
  <c r="J27" i="12"/>
  <c r="D21" i="12"/>
  <c r="F21" i="12" s="1"/>
  <c r="C27" i="12"/>
  <c r="D23" i="12" s="1"/>
  <c r="F23" i="12" s="1"/>
  <c r="D14" i="11"/>
  <c r="B58" i="10"/>
  <c r="B57" i="10"/>
  <c r="B56" i="10"/>
  <c r="B55" i="10"/>
  <c r="B54" i="10"/>
  <c r="B53" i="10"/>
  <c r="B52" i="10"/>
  <c r="B51" i="10"/>
  <c r="B50" i="10"/>
  <c r="B49" i="10"/>
  <c r="B48" i="10"/>
  <c r="B47" i="10"/>
  <c r="B46" i="10"/>
  <c r="B45" i="10"/>
  <c r="B44" i="10"/>
  <c r="B43" i="10"/>
  <c r="B42" i="10"/>
  <c r="B41" i="10"/>
  <c r="B40" i="10"/>
  <c r="B39" i="10"/>
  <c r="B38" i="10"/>
  <c r="S28" i="10"/>
  <c r="Q28" i="10"/>
  <c r="P28" i="10"/>
  <c r="O28" i="10"/>
  <c r="L28" i="10"/>
  <c r="P27" i="10"/>
  <c r="N27" i="10"/>
  <c r="B27" i="10"/>
  <c r="T26" i="10"/>
  <c r="N26" i="10"/>
  <c r="P26" i="10" s="1"/>
  <c r="B26" i="10"/>
  <c r="T25" i="10"/>
  <c r="P25" i="10"/>
  <c r="N25" i="10"/>
  <c r="B25" i="10"/>
  <c r="T24" i="10"/>
  <c r="N24" i="10"/>
  <c r="P24" i="10" s="1"/>
  <c r="B24" i="10"/>
  <c r="T23" i="10"/>
  <c r="P23" i="10"/>
  <c r="N23" i="10"/>
  <c r="B23" i="10"/>
  <c r="T22" i="10"/>
  <c r="N22" i="10"/>
  <c r="P22" i="10" s="1"/>
  <c r="B22" i="10"/>
  <c r="T21" i="10"/>
  <c r="P21" i="10"/>
  <c r="N21" i="10"/>
  <c r="B21" i="10"/>
  <c r="T20" i="10"/>
  <c r="N20" i="10"/>
  <c r="P20" i="10" s="1"/>
  <c r="B20" i="10"/>
  <c r="T19" i="10"/>
  <c r="P19" i="10"/>
  <c r="N19" i="10"/>
  <c r="B19" i="10"/>
  <c r="T18" i="10"/>
  <c r="N18" i="10"/>
  <c r="P18" i="10" s="1"/>
  <c r="B18" i="10"/>
  <c r="T17" i="10"/>
  <c r="P17" i="10"/>
  <c r="N17" i="10"/>
  <c r="B17" i="10"/>
  <c r="T16" i="10"/>
  <c r="N16" i="10"/>
  <c r="P16" i="10" s="1"/>
  <c r="B16" i="10"/>
  <c r="T15" i="10"/>
  <c r="P15" i="10"/>
  <c r="N15" i="10"/>
  <c r="B15" i="10"/>
  <c r="T14" i="10"/>
  <c r="N14" i="10"/>
  <c r="P14" i="10" s="1"/>
  <c r="B14" i="10"/>
  <c r="T13" i="10"/>
  <c r="P13" i="10"/>
  <c r="N13" i="10"/>
  <c r="B13" i="10"/>
  <c r="P12" i="10"/>
  <c r="N12" i="10"/>
  <c r="B12" i="10"/>
  <c r="P11" i="10"/>
  <c r="N11" i="10"/>
  <c r="B11" i="10"/>
  <c r="P10" i="10"/>
  <c r="N10" i="10"/>
  <c r="B10" i="10"/>
  <c r="P9" i="10"/>
  <c r="N9" i="10"/>
  <c r="B9" i="10"/>
  <c r="P8" i="10"/>
  <c r="N8" i="10"/>
  <c r="N28" i="10" s="1"/>
  <c r="L8" i="10"/>
  <c r="B8" i="10"/>
  <c r="I28" i="9"/>
  <c r="I27" i="9"/>
  <c r="I26" i="9"/>
  <c r="I25" i="9"/>
  <c r="I24" i="9"/>
  <c r="I23" i="9"/>
  <c r="I22" i="9"/>
  <c r="I21" i="9"/>
  <c r="D21" i="9"/>
  <c r="E21" i="9" s="1"/>
  <c r="I20" i="9"/>
  <c r="I19" i="9"/>
  <c r="I18" i="9"/>
  <c r="I17" i="9"/>
  <c r="I16" i="9"/>
  <c r="I15" i="9"/>
  <c r="I14" i="9"/>
  <c r="I13" i="9"/>
  <c r="I12" i="9"/>
  <c r="I11" i="9"/>
  <c r="I10" i="9"/>
  <c r="H29" i="9"/>
  <c r="G29" i="9"/>
  <c r="C29" i="9"/>
  <c r="D26" i="9" s="1"/>
  <c r="E26" i="9" s="1"/>
  <c r="D9" i="12" l="1"/>
  <c r="D25" i="12"/>
  <c r="D13" i="12"/>
  <c r="F13" i="12" s="1"/>
  <c r="D17" i="12"/>
  <c r="F17" i="12" s="1"/>
  <c r="D16" i="11"/>
  <c r="D22" i="11"/>
  <c r="D8" i="11"/>
  <c r="D24" i="11"/>
  <c r="D10" i="11"/>
  <c r="D18" i="11"/>
  <c r="D26" i="11"/>
  <c r="D12" i="11"/>
  <c r="D20" i="11"/>
  <c r="L30" i="13"/>
  <c r="E27" i="12"/>
  <c r="F9" i="12"/>
  <c r="F25" i="12"/>
  <c r="D11" i="9"/>
  <c r="E11" i="9" s="1"/>
  <c r="D15" i="9"/>
  <c r="E15" i="9" s="1"/>
  <c r="D19" i="9"/>
  <c r="E19" i="9" s="1"/>
  <c r="D25" i="9"/>
  <c r="E25" i="9" s="1"/>
  <c r="D10" i="9"/>
  <c r="E10" i="9" s="1"/>
  <c r="D14" i="9"/>
  <c r="E14" i="9" s="1"/>
  <c r="D18" i="9"/>
  <c r="E18" i="9" s="1"/>
  <c r="D27" i="9"/>
  <c r="E27" i="9" s="1"/>
  <c r="D9" i="9"/>
  <c r="D13" i="9"/>
  <c r="E13" i="9" s="1"/>
  <c r="D17" i="9"/>
  <c r="E17" i="9" s="1"/>
  <c r="D12" i="9"/>
  <c r="E12" i="9" s="1"/>
  <c r="D16" i="9"/>
  <c r="E16" i="9" s="1"/>
  <c r="D20" i="9"/>
  <c r="E20" i="9" s="1"/>
  <c r="D23" i="9"/>
  <c r="E23" i="9" s="1"/>
  <c r="L16" i="13"/>
  <c r="L15" i="13"/>
  <c r="L17" i="13"/>
  <c r="R29" i="9" s="1"/>
  <c r="E9" i="9"/>
  <c r="I9" i="9"/>
  <c r="D24" i="9"/>
  <c r="E24" i="9" s="1"/>
  <c r="D28" i="9"/>
  <c r="E28" i="9" s="1"/>
  <c r="E28" i="10"/>
  <c r="F18" i="10" s="1"/>
  <c r="G18" i="10" s="1"/>
  <c r="D22" i="9"/>
  <c r="E22" i="9" s="1"/>
  <c r="T28" i="10"/>
  <c r="B28" i="10"/>
  <c r="C15" i="10" s="1"/>
  <c r="D9" i="11"/>
  <c r="D13" i="11"/>
  <c r="D17" i="11"/>
  <c r="D21" i="11"/>
  <c r="D25" i="11"/>
  <c r="D7" i="12"/>
  <c r="D8" i="12"/>
  <c r="F8" i="12" s="1"/>
  <c r="D12" i="12"/>
  <c r="F12" i="12" s="1"/>
  <c r="D16" i="12"/>
  <c r="F16" i="12" s="1"/>
  <c r="D20" i="12"/>
  <c r="F20" i="12" s="1"/>
  <c r="D24" i="12"/>
  <c r="F24" i="12" s="1"/>
  <c r="W93" i="13"/>
  <c r="W97" i="13"/>
  <c r="W101" i="13"/>
  <c r="W105" i="13"/>
  <c r="W109" i="13"/>
  <c r="D7" i="11"/>
  <c r="D11" i="11"/>
  <c r="D15" i="11"/>
  <c r="D19" i="11"/>
  <c r="D23" i="11"/>
  <c r="D10" i="12"/>
  <c r="F10" i="12" s="1"/>
  <c r="D14" i="12"/>
  <c r="F14" i="12" s="1"/>
  <c r="D18" i="12"/>
  <c r="F18" i="12" s="1"/>
  <c r="D22" i="12"/>
  <c r="F22" i="12" s="1"/>
  <c r="D26" i="12"/>
  <c r="F26" i="12" s="1"/>
  <c r="I17" i="13"/>
  <c r="I15" i="13"/>
  <c r="I18" i="13" s="1"/>
  <c r="K18" i="13" s="1"/>
  <c r="I16" i="13"/>
  <c r="K30" i="13"/>
  <c r="J80" i="13"/>
  <c r="D11" i="12"/>
  <c r="F11" i="12" s="1"/>
  <c r="D15" i="12"/>
  <c r="F15" i="12" s="1"/>
  <c r="D19" i="12"/>
  <c r="F19" i="12" s="1"/>
  <c r="W107" i="13"/>
  <c r="W103" i="13"/>
  <c r="W99" i="13"/>
  <c r="W95" i="13"/>
  <c r="W91" i="13"/>
  <c r="W106" i="13"/>
  <c r="W102" i="13"/>
  <c r="W98" i="13"/>
  <c r="W94" i="13"/>
  <c r="W90" i="13"/>
  <c r="X91" i="13"/>
  <c r="Y91" i="13" s="1"/>
  <c r="X99" i="13"/>
  <c r="X107" i="13"/>
  <c r="Y107" i="13" s="1"/>
  <c r="X96" i="13"/>
  <c r="Y96" i="13" s="1"/>
  <c r="X104" i="13"/>
  <c r="Y104" i="13" s="1"/>
  <c r="X108" i="13"/>
  <c r="Y108" i="13" s="1"/>
  <c r="AA91" i="13"/>
  <c r="AA95" i="13"/>
  <c r="AA99" i="13"/>
  <c r="AA103" i="13"/>
  <c r="AA107" i="13"/>
  <c r="V110" i="13"/>
  <c r="X95" i="13" s="1"/>
  <c r="Y95" i="13" s="1"/>
  <c r="L18" i="13" l="1"/>
  <c r="F13" i="9" s="1"/>
  <c r="C19" i="10"/>
  <c r="D15" i="10"/>
  <c r="D27" i="12"/>
  <c r="F7" i="12"/>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AB107" i="13"/>
  <c r="X92" i="13"/>
  <c r="Y92" i="13" s="1"/>
  <c r="C21" i="10"/>
  <c r="C25" i="10"/>
  <c r="F20" i="10"/>
  <c r="G20" i="10" s="1"/>
  <c r="F8" i="10"/>
  <c r="G8" i="10" s="1"/>
  <c r="F17" i="10"/>
  <c r="G17" i="10" s="1"/>
  <c r="C11" i="10"/>
  <c r="D29" i="9"/>
  <c r="I29" i="9"/>
  <c r="X106" i="13"/>
  <c r="Y106" i="13" s="1"/>
  <c r="X102" i="13"/>
  <c r="Y102" i="13" s="1"/>
  <c r="X98" i="13"/>
  <c r="Y98" i="13" s="1"/>
  <c r="X94" i="13"/>
  <c r="Y94" i="13" s="1"/>
  <c r="X90" i="13"/>
  <c r="X109" i="13"/>
  <c r="Y109" i="13" s="1"/>
  <c r="X105" i="13"/>
  <c r="Y105" i="13" s="1"/>
  <c r="X101" i="13"/>
  <c r="Y101" i="13" s="1"/>
  <c r="X97" i="13"/>
  <c r="Y97" i="13" s="1"/>
  <c r="X93" i="13"/>
  <c r="Y93" i="13" s="1"/>
  <c r="X100" i="13"/>
  <c r="Y100" i="13" s="1"/>
  <c r="X103" i="13"/>
  <c r="Y103" i="13" s="1"/>
  <c r="W110" i="13"/>
  <c r="D27" i="11"/>
  <c r="C10" i="10"/>
  <c r="F24" i="10"/>
  <c r="G24" i="10" s="1"/>
  <c r="C13" i="10"/>
  <c r="C27" i="10"/>
  <c r="E29" i="9"/>
  <c r="D19" i="10"/>
  <c r="F16" i="10"/>
  <c r="G16" i="10" s="1"/>
  <c r="AB91" i="13"/>
  <c r="Y99" i="13"/>
  <c r="AA110" i="13"/>
  <c r="F22" i="10"/>
  <c r="G22" i="10" s="1"/>
  <c r="F26" i="10"/>
  <c r="G26" i="10" s="1"/>
  <c r="C28" i="10"/>
  <c r="C20" i="10"/>
  <c r="C24" i="10"/>
  <c r="C22" i="10"/>
  <c r="C18" i="10"/>
  <c r="C26" i="10"/>
  <c r="C14" i="10"/>
  <c r="C8" i="10"/>
  <c r="C16" i="10"/>
  <c r="C23" i="10"/>
  <c r="C9" i="10"/>
  <c r="F14" i="10"/>
  <c r="G14" i="10" s="1"/>
  <c r="C12" i="10"/>
  <c r="C17" i="10"/>
  <c r="F16" i="9" l="1"/>
  <c r="F18" i="9"/>
  <c r="F28" i="9"/>
  <c r="F23" i="9"/>
  <c r="F12" i="9"/>
  <c r="F19" i="9"/>
  <c r="F26" i="9"/>
  <c r="F22" i="9"/>
  <c r="F15" i="9"/>
  <c r="F27" i="9"/>
  <c r="F17" i="9"/>
  <c r="F10" i="9"/>
  <c r="F24" i="9"/>
  <c r="F14" i="9"/>
  <c r="F21" i="9"/>
  <c r="F9" i="9"/>
  <c r="F20" i="9"/>
  <c r="F11" i="9"/>
  <c r="F25" i="9"/>
  <c r="D20" i="10"/>
  <c r="J20" i="10"/>
  <c r="K20" i="10" s="1"/>
  <c r="G28" i="10"/>
  <c r="J15" i="10"/>
  <c r="K15" i="10" s="1"/>
  <c r="D12" i="10"/>
  <c r="J12" i="10"/>
  <c r="K12" i="10" s="1"/>
  <c r="J16" i="10"/>
  <c r="K16" i="10" s="1"/>
  <c r="D16" i="10"/>
  <c r="J18" i="10"/>
  <c r="K18" i="10" s="1"/>
  <c r="D18" i="10"/>
  <c r="AB93" i="13"/>
  <c r="AB109" i="13"/>
  <c r="AB92" i="13"/>
  <c r="AB108" i="13"/>
  <c r="AB90" i="13"/>
  <c r="AB98" i="13"/>
  <c r="AB106" i="13"/>
  <c r="AB97" i="13"/>
  <c r="AB96" i="13"/>
  <c r="AB100" i="13"/>
  <c r="AB101" i="13"/>
  <c r="AB94" i="13"/>
  <c r="AB102" i="13"/>
  <c r="AB105" i="13"/>
  <c r="AB104" i="13"/>
  <c r="J10" i="10"/>
  <c r="K10" i="10" s="1"/>
  <c r="D10" i="10"/>
  <c r="AB95" i="13"/>
  <c r="AB103" i="13"/>
  <c r="J8" i="10"/>
  <c r="D8" i="10"/>
  <c r="J26" i="10"/>
  <c r="K26" i="10" s="1"/>
  <c r="D26" i="10"/>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AB99" i="13"/>
  <c r="J13" i="10"/>
  <c r="K13" i="10" s="1"/>
  <c r="D13" i="10"/>
  <c r="X110" i="13"/>
  <c r="Y90" i="13"/>
  <c r="Y110" i="13" s="1"/>
  <c r="J9" i="9"/>
  <c r="D21" i="10"/>
  <c r="J21" i="10"/>
  <c r="K21" i="10" s="1"/>
  <c r="F27" i="12"/>
  <c r="G7" i="12" s="1"/>
  <c r="C45" i="10"/>
  <c r="I15" i="10"/>
  <c r="H15" i="10"/>
  <c r="J23" i="10"/>
  <c r="K23" i="10" s="1"/>
  <c r="D23" i="10"/>
  <c r="F29" i="9" l="1"/>
  <c r="I7" i="12"/>
  <c r="H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AB110" i="13"/>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F49" i="10" l="1"/>
  <c r="M24" i="9"/>
  <c r="D41" i="10"/>
  <c r="E41" i="10"/>
  <c r="D43" i="10"/>
  <c r="E43" i="10"/>
  <c r="D53" i="10"/>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M26" i="9"/>
  <c r="D54" i="10"/>
  <c r="E54" i="10"/>
  <c r="D57" i="10"/>
  <c r="E57" i="10"/>
  <c r="I24" i="12"/>
  <c r="K24" i="12" s="1"/>
  <c r="H24" i="12"/>
  <c r="I20" i="12"/>
  <c r="K20" i="12" s="1"/>
  <c r="H20" i="12"/>
  <c r="I15" i="12"/>
  <c r="K15" i="12" s="1"/>
  <c r="H15" i="12"/>
  <c r="H25" i="12"/>
  <c r="I25" i="12"/>
  <c r="K25" i="12" s="1"/>
  <c r="H13" i="12"/>
  <c r="I13" i="12"/>
  <c r="K13" i="12" s="1"/>
  <c r="D42" i="10"/>
  <c r="E42" i="10"/>
  <c r="M13" i="9"/>
  <c r="R8" i="10"/>
  <c r="R28" i="10" s="1"/>
  <c r="M8" i="10"/>
  <c r="M28" i="10" s="1"/>
  <c r="D39" i="10"/>
  <c r="E39" i="10"/>
  <c r="D50" i="10"/>
  <c r="E50" i="10"/>
  <c r="E48" i="10"/>
  <c r="D48" i="10"/>
  <c r="M23" i="9"/>
  <c r="D51" i="10"/>
  <c r="E51" i="10"/>
  <c r="D38" i="10"/>
  <c r="E38" i="10"/>
  <c r="E58" i="10" s="1"/>
  <c r="E44" i="10"/>
  <c r="D44" i="10"/>
  <c r="M15" i="9"/>
  <c r="D46" i="10"/>
  <c r="E46" i="10"/>
  <c r="M21" i="9"/>
  <c r="M17" i="9"/>
  <c r="I26" i="12"/>
  <c r="K26" i="12" s="1"/>
  <c r="H26" i="12"/>
  <c r="I16" i="12"/>
  <c r="K16" i="12" s="1"/>
  <c r="H16" i="12"/>
  <c r="I19" i="12"/>
  <c r="K19" i="12" s="1"/>
  <c r="H19" i="12"/>
  <c r="H9" i="12"/>
  <c r="I9" i="12"/>
  <c r="K9" i="12" s="1"/>
  <c r="M27" i="9"/>
  <c r="M22" i="9"/>
  <c r="M25" i="9"/>
  <c r="M12" i="9"/>
  <c r="E52" i="10"/>
  <c r="D52" i="10"/>
  <c r="M11" i="9"/>
  <c r="K29" i="9"/>
  <c r="T29" i="9" s="1"/>
  <c r="T9" i="9"/>
  <c r="L9" i="9"/>
  <c r="N9" i="9"/>
  <c r="M28" i="9"/>
  <c r="D47" i="10"/>
  <c r="E47" i="10"/>
  <c r="D55" i="10"/>
  <c r="E55" i="10"/>
  <c r="I22" i="12"/>
  <c r="K22" i="12" s="1"/>
  <c r="H22" i="12"/>
  <c r="I12" i="12"/>
  <c r="K12" i="12" s="1"/>
  <c r="H12" i="12"/>
  <c r="I10" i="12"/>
  <c r="K10" i="12" s="1"/>
  <c r="H10" i="12"/>
  <c r="I8" i="12"/>
  <c r="K8" i="12" s="1"/>
  <c r="H8" i="12"/>
  <c r="H17" i="12"/>
  <c r="I17" i="12"/>
  <c r="K17" i="12" s="1"/>
  <c r="K7" i="12"/>
  <c r="K27" i="12" l="1"/>
  <c r="F42" i="10"/>
  <c r="F57" i="10"/>
  <c r="F50" i="10"/>
  <c r="F38" i="10"/>
  <c r="F54" i="10"/>
  <c r="F55" i="10"/>
  <c r="F44" i="10"/>
  <c r="F53" i="10"/>
  <c r="F41" i="10"/>
  <c r="F52" i="10"/>
  <c r="F40" i="10"/>
  <c r="O9" i="9"/>
  <c r="N29" i="9"/>
  <c r="F46" i="10"/>
  <c r="F39" i="10"/>
  <c r="F47" i="10"/>
  <c r="L29" i="9"/>
  <c r="M29" i="9" s="1"/>
  <c r="M9" i="9"/>
  <c r="F51" i="10"/>
  <c r="F43" i="10"/>
  <c r="I27" i="12"/>
  <c r="F48" i="10"/>
  <c r="F56" i="10"/>
  <c r="K12" i="6"/>
  <c r="C11" i="8" s="1"/>
  <c r="K11" i="6"/>
  <c r="C10" i="8" s="1"/>
  <c r="K14" i="6"/>
  <c r="C13" i="8" s="1"/>
  <c r="K17" i="6"/>
  <c r="C16" i="8" s="1"/>
  <c r="K18" i="6"/>
  <c r="C17" i="8" s="1"/>
  <c r="K20" i="6"/>
  <c r="C19" i="8" s="1"/>
  <c r="K21" i="6"/>
  <c r="C20" i="8" s="1"/>
  <c r="K22" i="6"/>
  <c r="C21" i="8" s="1"/>
  <c r="K24" i="6"/>
  <c r="C23" i="8" s="1"/>
  <c r="K25" i="6"/>
  <c r="C24" i="8" s="1"/>
  <c r="K26" i="6"/>
  <c r="C25" i="8" s="1"/>
  <c r="K28" i="6"/>
  <c r="C27" i="8" s="1"/>
  <c r="K29" i="6"/>
  <c r="C28" i="8" s="1"/>
  <c r="K23" i="6"/>
  <c r="C22" i="8" s="1"/>
  <c r="K19" i="6"/>
  <c r="C18" i="8" s="1"/>
  <c r="K15" i="6"/>
  <c r="C14" i="8" s="1"/>
  <c r="K16" i="6"/>
  <c r="C15" i="8" s="1"/>
  <c r="K13" i="6"/>
  <c r="C12" i="8" s="1"/>
  <c r="K27" i="6"/>
  <c r="C26" i="8" s="1"/>
  <c r="O29" i="9" l="1"/>
  <c r="H30" i="6"/>
  <c r="P20" i="9" l="1"/>
  <c r="P23" i="9"/>
  <c r="P12" i="9"/>
  <c r="P14" i="9"/>
  <c r="P18" i="9"/>
  <c r="P11" i="9"/>
  <c r="P22" i="9"/>
  <c r="P19" i="9"/>
  <c r="P10" i="9"/>
  <c r="P26" i="9"/>
  <c r="P21" i="9"/>
  <c r="P17" i="9"/>
  <c r="P16" i="9"/>
  <c r="P15" i="9"/>
  <c r="P13" i="9"/>
  <c r="P27" i="9"/>
  <c r="P25" i="9"/>
  <c r="P28" i="9"/>
  <c r="P24" i="9"/>
  <c r="P9" i="9"/>
  <c r="F30" i="6"/>
  <c r="D30" i="6"/>
  <c r="B30"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B29" i="5"/>
  <c r="S29" i="9" l="1"/>
  <c r="Q29" i="9"/>
  <c r="K10" i="6" l="1"/>
  <c r="K30" i="6" s="1"/>
  <c r="C9" i="8" l="1"/>
  <c r="J19" i="6"/>
  <c r="J16" i="6"/>
  <c r="J24" i="6"/>
  <c r="J18" i="6"/>
  <c r="J13" i="6"/>
  <c r="J15" i="6"/>
  <c r="J25" i="6"/>
  <c r="J23" i="6"/>
  <c r="J20" i="6"/>
  <c r="J22" i="6"/>
  <c r="J14" i="6"/>
  <c r="J26" i="6"/>
  <c r="J29" i="6"/>
  <c r="J11" i="6"/>
  <c r="J28" i="6"/>
  <c r="J21" i="6"/>
  <c r="J12" i="6"/>
  <c r="J17" i="6"/>
  <c r="J27" i="6"/>
  <c r="J10" i="6"/>
  <c r="C29" i="8" l="1"/>
  <c r="J30"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<sst xmlns="http://schemas.openxmlformats.org/spreadsheetml/2006/main" count="495" uniqueCount="242">
  <si>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</si>
  <si>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</si>
  <si>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</si>
  <si>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</si>
  <si>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</si>
  <si>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</si>
  <si>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</si>
  <si>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</si>
  <si>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</si>
  <si>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</si>
  <si>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</si>
  <si>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</si>
  <si>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</si>
  <si>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</si>
  <si>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</si>
  <si>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</si>
  <si>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</si>
  <si>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</si>
  <si>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</si>
  <si>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</si>
  <si>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</si>
  <si>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</si>
  <si>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</si>
  <si>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</si>
  <si>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</si>
  <si>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</si>
  <si>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</si>
  <si>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</si>
  <si>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</si>
  <si>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</si>
  <si>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</si>
  <si>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</si>
  <si>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</si>
  <si>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</si>
  <si>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</si>
  <si>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</si>
  <si>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</si>
  <si>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</si>
  <si>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</si>
  <si>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</si>
  <si>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</si>
  <si>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</si>
  <si>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</si>
  <si>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</si>
  <si>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</si>
  <si>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</si>
  <si>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</si>
  <si>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</si>
  <si>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</si>
  <si>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</si>
  <si>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</si>
  <si>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</si>
  <si>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</si>
  <si>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</si>
  <si>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</si>
  <si>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</si>
  <si>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</si>
  <si>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</si>
  <si>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</si>
  <si>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</si>
  <si>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</si>
  <si>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</si>
  <si>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</si>
  <si>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</si>
  <si>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</si>
  <si>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</si>
  <si>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</si>
  <si>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</si>
  <si>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</si>
  <si>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</si>
  <si>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</si>
  <si>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</si>
  <si>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</si>
  <si>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</si>
  <si>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</si>
  <si>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</si>
  <si>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</si>
  <si>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</si>
  <si>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</si>
  <si>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</si>
  <si>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</si>
  <si>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</si>
  <si>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</si>
  <si>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</si>
  <si>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</si>
  <si>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</si>
  <si>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</si>
  <si>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</si>
  <si>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</si>
  <si>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</si>
  <si>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</si>
  <si>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</si>
  <si>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</si>
  <si>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</si>
  <si>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</si>
  <si>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</si>
  <si>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</si>
  <si>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</si>
  <si>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</si>
  <si>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</si>
  <si>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</si>
  <si>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</si>
  <si>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</si>
  <si>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</si>
  <si>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</si>
  <si>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</si>
  <si>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</si>
  <si>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</si>
  <si>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</si>
  <si>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</si>
  <si>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</si>
  <si>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</si>
  <si>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</si>
  <si>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</si>
  <si>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</si>
  <si>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</si>
  <si>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</si>
  <si>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</si>
  <si>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</si>
  <si>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</si>
  <si>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</si>
  <si>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Esfuerzo Recaudatorio</t>
  </si>
  <si>
    <t xml:space="preserve">Población </t>
  </si>
  <si>
    <t>Resultado</t>
  </si>
  <si>
    <t xml:space="preserve">Coeficiente de </t>
  </si>
  <si>
    <t xml:space="preserve">Variación por </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</si>
  <si>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</si>
  <si>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</si>
  <si>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</si>
  <si>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</si>
  <si>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</si>
  <si>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</si>
  <si>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</si>
  <si>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</si>
  <si>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</si>
  <si>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</si>
  <si>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</si>
  <si>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</si>
  <si>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</si>
  <si>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</si>
  <si>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</si>
  <si>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</si>
  <si>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</si>
  <si>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</si>
  <si>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</si>
  <si>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</si>
  <si>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</si>
  <si>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</si>
  <si>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</si>
  <si>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</si>
  <si>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</si>
  <si>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</si>
  <si>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</si>
  <si>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</si>
  <si>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Dif FOFIR</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</si>
  <si>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</si>
  <si>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</si>
  <si>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</si>
  <si>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</si>
  <si>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</si>
  <si>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</si>
  <si>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</si>
  <si>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</si>
  <si>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</si>
  <si>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</si>
  <si>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</si>
  <si>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</si>
  <si>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</si>
  <si>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</si>
  <si>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</si>
  <si>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</si>
  <si>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</si>
  <si>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</si>
  <si>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</si>
  <si>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</si>
  <si>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</si>
  <si>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</si>
  <si>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</si>
  <si>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</si>
  <si>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</si>
  <si>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</si>
  <si>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</si>
  <si>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</si>
  <si>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</si>
  <si>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</si>
  <si>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</si>
  <si>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</si>
  <si>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MUNICIPIO</t>
  </si>
  <si>
    <t>PREDIAL</t>
  </si>
  <si>
    <t>AGUA</t>
  </si>
  <si>
    <t>esfuerzo recaudatorio</t>
  </si>
  <si>
    <t xml:space="preserve">ACAPONETA </t>
  </si>
  <si>
    <t>BAHÍA DE BANDERAS</t>
  </si>
  <si>
    <t>DEL NAYAR</t>
  </si>
  <si>
    <t>SAN PEDRO LAG.</t>
  </si>
  <si>
    <t>STA. MARIA DEL ORO</t>
  </si>
  <si>
    <t xml:space="preserve"> Encuesta Intercensal  de Población y Vivienda  2015</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</si>
  <si>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</si>
  <si>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</si>
  <si>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</si>
  <si>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</si>
  <si>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</si>
  <si>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</si>
  <si>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</si>
  <si>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</si>
  <si>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</si>
  <si>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</si>
  <si>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</si>
  <si>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</si>
  <si>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</si>
  <si>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</si>
  <si>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</si>
  <si>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Coeficiente  Resarcitorio Efectivo       10%</t>
  </si>
  <si>
    <t>Correspondiente al 10% del Crecimiento</t>
  </si>
  <si>
    <t>PORCENTAJES Y MONTOS DE PARTIPACIONES FEDERALES PROVISIONALES MINISTRADAS A LOS MUNICIPIOS PARA EL EJERCICIO FISCAL 2018</t>
  </si>
  <si>
    <t>PORCENTAJES Y MONTOS DE PARCIPACIONES FEDERALES DEFINITIVAS CORRESPONDIENTES A LOS MUNICIPIOS PARA EL EJERCICIO FISCAL 2018</t>
  </si>
  <si>
    <t>SALDOS DERIVADOS DEL AJUSTE DE PARTICIPACIONES FEDERALES DEL EJERCICIO FISCAL 2018</t>
  </si>
  <si>
    <t>Cálculo de la Distribución del Ajuste Definitivo 2018 del Fondo General de Participaciones</t>
  </si>
  <si>
    <t xml:space="preserve">Cálculo de la Distribución del Ajuste Definitivo 2018 del Fondo de Fomento Municipal </t>
  </si>
  <si>
    <t>Cálculo de la Distribución del Ajuste Definitivo 2018 del Impuesto Especial Sobre Producción y Servicios</t>
  </si>
  <si>
    <t xml:space="preserve">Cálculo de la Distribución del Ajuste Definitivo 2018 del Fondo de Fiscalización y Recaudación </t>
  </si>
  <si>
    <t>Ajuste Definitivo 2018</t>
  </si>
  <si>
    <t>Distribución correspondiente al Ajuste Definitivo 2018</t>
  </si>
  <si>
    <t>Total a Distribuir del Ajuste Definitivo 2018</t>
  </si>
  <si>
    <t>Distribución Total del Ajuste Definitivo 2018 del IEPS</t>
  </si>
  <si>
    <t>Distribución del Ajuste Definitivo 2018</t>
  </si>
  <si>
    <t>Intercensal 2015</t>
  </si>
  <si>
    <t>poblacion                                2015</t>
  </si>
  <si>
    <r>
      <rPr>
        <b/>
        <sz val="11"/>
        <color theme="1"/>
        <rFont val="Arial"/>
        <family val="2"/>
      </rPr>
      <t>Fuente:</t>
    </r>
    <r>
      <rPr>
        <sz val="11"/>
        <color theme="1"/>
        <rFont val="Arial"/>
        <family val="2"/>
      </rPr>
      <t xml:space="preserve"> Aviso de pago de participaciones oficio No. 351-A-DGPA-C-2304    UCEF</t>
    </r>
  </si>
  <si>
    <r>
      <rPr>
        <b/>
        <sz val="11"/>
        <color theme="1"/>
        <rFont val="Arial"/>
        <family val="2"/>
      </rPr>
      <t>Fuente:</t>
    </r>
    <r>
      <rPr>
        <sz val="11"/>
        <color theme="1"/>
        <rFont val="Arial"/>
        <family val="2"/>
      </rPr>
      <t xml:space="preserve"> Aviso de pago de participaciones oficio No. 351-A-DGPA-C-2304  UCEF</t>
    </r>
  </si>
  <si>
    <r>
      <rPr>
        <b/>
        <sz val="11"/>
        <color theme="1"/>
        <rFont val="Arial"/>
        <family val="2"/>
      </rPr>
      <t xml:space="preserve">Fuente: </t>
    </r>
    <r>
      <rPr>
        <sz val="11"/>
        <color theme="1"/>
        <rFont val="Arial"/>
        <family val="2"/>
      </rPr>
      <t>Aviso de pago de participaciones Oficio No. 351-A-DGPA-C-2438 UCEF</t>
    </r>
  </si>
  <si>
    <t>De conformidad al acuerdo 02/2014 por lo que se expiden los lineamientos para la publicación a que se refiere el artículo 6o. de la Ley de Coordinación Fiscal, numeral III inciso e). El Ajuste Definitivo 2018 correspondiente al FGP(+), FFM(+) y al IEPS(+) se participó en el mes de mayo 2019 y el correspondiente al FOFIR(-) en el mes de junio 2019.</t>
  </si>
  <si>
    <t>De conformidad al acuerdo 02/2014 por lo que se expiden los lineamientos para la publicación a que se refiere el artículo 6o. de la Ley de Coordinación Fiscal, numeral III inciso e). El Tercer Ajuste Cuatrimestral 2018 se participó en el mes de Febrero de 2019 y  el Ajuste Definitivo 2018 se participó en el mes de mayo FGP, FFM e IEPS y el correspondiente al FOFIR en el mes de junio 2019</t>
  </si>
  <si>
    <t>IMPUESTO ESPECIAL SOBRE PRODUCCIÓN Y SERVICIOS</t>
  </si>
  <si>
    <t>FONDO DE FISCALIZACIÓN Y RECAUDACIÓN</t>
  </si>
  <si>
    <t>De conformidad al acuerdo 02/2014 por lo que se expiden los lineamientos para la publicación a que se refiere el artículo 6o. de la Ley de Coordinación Fiscal, numeral III inciso e). La diferencia de FOFIR del cuarto trimestre 2018 se participó en el mes de enero del 2019. El Tercer Ajuste Cuatrimestral 2018 se participó en el mes de Febrero de 2019.</t>
  </si>
  <si>
    <t>Porcentaje que representa la Inversa Proporcional         (14)</t>
  </si>
  <si>
    <t>Distribución x</t>
  </si>
  <si>
    <t>Factor de Distribución 2018</t>
  </si>
  <si>
    <t xml:space="preserve">Recaudación Predial y Agua </t>
  </si>
  <si>
    <t>Último Ejercicio</t>
  </si>
  <si>
    <t xml:space="preserve">Participación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</si>
</sst>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s>
  <fonts count="27" x14ac:knownFonts="1">
    <font>
      <sz val="12"/>
      <color theme="1"/>
      <name val="Arial"/>
      <family val="2"/>
    </font>
    <font>
      <sz val="11"/>
      <color theme="1"/>
      <name val="Calibri"/>
      <family val="2"/>
      <scheme val="minor"/>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4"/>
      <color theme="1"/>
      <name val="Arial"/>
      <family val="2"/>
    </font>
    <font>
      <sz val="14"/>
      <name val="Arial"/>
      <family val="2"/>
    </font>
    <font>
      <b/>
      <sz val="14"/>
      <color theme="1"/>
      <name val="Arial"/>
      <family val="2"/>
    </font>
    <font>
      <b/>
      <sz val="14"/>
      <color theme="1"/>
      <name val="Calibri"/>
      <family val="2"/>
      <scheme val="minor"/>
    </font>
    <font>
      <sz val="11"/>
      <color rgb="FF000000"/>
      <name val="Arial"/>
      <family val="2"/>
    </font>
    <font>
      <b/>
      <sz val="1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8">
    <xf numFmtId="0" fontId="0" fillId="0" borderId="0"/>
    <xf numFmtId="0" fontId="3"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3" fillId="0" borderId="0" applyFont="0" applyFill="0" applyBorder="0" applyAlignment="0" applyProtection="0"/>
    <xf numFmtId="0" fontId="2" fillId="0" borderId="0"/>
    <xf numFmtId="44" fontId="2" fillId="0" borderId="0" applyFont="0" applyFill="0" applyBorder="0" applyAlignment="0" applyProtection="0"/>
  </cellStyleXfs>
  <cellXfs count="439">
    <xf numFmtId="0" fontId="0" fillId="0" borderId="0" xfId="0"/>
    <xf numFmtId="0" fontId="6" fillId="0" borderId="0" xfId="0" applyFont="1"/>
    <xf numFmtId="0" fontId="7" fillId="0" borderId="6" xfId="3" applyFont="1" applyBorder="1" applyAlignment="1">
      <alignment vertical="center"/>
    </xf>
    <xf numFmtId="0" fontId="7" fillId="0" borderId="12" xfId="3" applyFont="1" applyBorder="1" applyAlignment="1">
      <alignment vertical="center"/>
    </xf>
    <xf numFmtId="0" fontId="7" fillId="0" borderId="9" xfId="3" applyFont="1" applyBorder="1" applyAlignment="1">
      <alignment vertical="center"/>
    </xf>
    <xf numFmtId="0" fontId="8" fillId="0" borderId="0" xfId="0" applyFont="1" applyAlignment="1">
      <alignment horizontal="right"/>
    </xf>
    <xf numFmtId="0" fontId="6" fillId="0" borderId="0" xfId="0" applyFont="1" applyAlignment="1">
      <alignment horizontal="center" vertical="center"/>
    </xf>
    <xf numFmtId="4" fontId="6" fillId="0" borderId="0" xfId="0" applyNumberFormat="1" applyFont="1"/>
    <xf numFmtId="10" fontId="6" fillId="0" borderId="0" xfId="0" applyNumberFormat="1" applyFont="1"/>
    <xf numFmtId="0" fontId="7" fillId="0" borderId="0" xfId="3" applyFont="1" applyBorder="1" applyAlignment="1">
      <alignment vertical="center"/>
    </xf>
    <xf numFmtId="4" fontId="6" fillId="0" borderId="0" xfId="0" applyNumberFormat="1" applyFont="1" applyBorder="1"/>
    <xf numFmtId="4" fontId="6" fillId="0" borderId="0" xfId="0" applyNumberFormat="1" applyFont="1" applyFill="1"/>
    <xf numFmtId="3" fontId="6" fillId="0" borderId="7" xfId="0" applyNumberFormat="1" applyFont="1" applyBorder="1"/>
    <xf numFmtId="3" fontId="6" fillId="0" borderId="2" xfId="0" applyNumberFormat="1" applyFont="1" applyBorder="1"/>
    <xf numFmtId="3" fontId="6" fillId="0" borderId="10" xfId="0" applyNumberFormat="1" applyFont="1" applyBorder="1"/>
    <xf numFmtId="3" fontId="6" fillId="0" borderId="8" xfId="0" applyNumberFormat="1" applyFont="1" applyBorder="1" applyAlignment="1">
      <alignment horizontal="right"/>
    </xf>
    <xf numFmtId="3" fontId="6" fillId="0" borderId="13" xfId="0" applyNumberFormat="1" applyFont="1" applyBorder="1" applyAlignment="1">
      <alignment horizontal="right"/>
    </xf>
    <xf numFmtId="3" fontId="6" fillId="0" borderId="11" xfId="0" applyNumberFormat="1" applyFont="1" applyBorder="1" applyAlignment="1">
      <alignment horizontal="right"/>
    </xf>
    <xf numFmtId="0" fontId="3" fillId="0" borderId="6" xfId="3" applyFont="1" applyBorder="1" applyAlignment="1">
      <alignment vertical="center"/>
    </xf>
    <xf numFmtId="165" fontId="10" fillId="0" borderId="7" xfId="0" applyNumberFormat="1" applyFont="1" applyBorder="1" applyAlignment="1">
      <alignment horizontal="center"/>
    </xf>
    <xf numFmtId="3" fontId="10" fillId="0" borderId="7" xfId="0" applyNumberFormat="1" applyFont="1" applyBorder="1"/>
    <xf numFmtId="165" fontId="10" fillId="0" borderId="7" xfId="0" applyNumberFormat="1" applyFont="1" applyFill="1" applyBorder="1" applyAlignment="1">
      <alignment horizontal="center"/>
    </xf>
    <xf numFmtId="3" fontId="10" fillId="0" borderId="7" xfId="0" applyNumberFormat="1" applyFont="1" applyFill="1" applyBorder="1"/>
    <xf numFmtId="3" fontId="10" fillId="0" borderId="8" xfId="0" applyNumberFormat="1" applyFont="1" applyBorder="1"/>
    <xf numFmtId="0" fontId="3" fillId="0" borderId="12" xfId="3" applyFont="1" applyBorder="1" applyAlignment="1">
      <alignment vertical="center"/>
    </xf>
    <xf numFmtId="165" fontId="10" fillId="0" borderId="2" xfId="0" applyNumberFormat="1" applyFont="1" applyBorder="1" applyAlignment="1">
      <alignment horizontal="center"/>
    </xf>
    <xf numFmtId="3" fontId="10" fillId="0" borderId="2" xfId="0" applyNumberFormat="1" applyFont="1" applyBorder="1"/>
    <xf numFmtId="165" fontId="10" fillId="0" borderId="2" xfId="0" applyNumberFormat="1" applyFont="1" applyFill="1" applyBorder="1" applyAlignment="1">
      <alignment horizontal="center"/>
    </xf>
    <xf numFmtId="3" fontId="10" fillId="0" borderId="2" xfId="0" applyNumberFormat="1" applyFont="1" applyFill="1" applyBorder="1"/>
    <xf numFmtId="3" fontId="10" fillId="0" borderId="13" xfId="0" applyNumberFormat="1" applyFont="1" applyBorder="1"/>
    <xf numFmtId="0" fontId="3" fillId="0" borderId="9" xfId="3" applyFont="1" applyBorder="1" applyAlignment="1">
      <alignment vertical="center"/>
    </xf>
    <xf numFmtId="165" fontId="10" fillId="0" borderId="10" xfId="0" applyNumberFormat="1" applyFont="1" applyBorder="1" applyAlignment="1">
      <alignment horizontal="center"/>
    </xf>
    <xf numFmtId="3" fontId="10" fillId="0" borderId="10" xfId="0" applyNumberFormat="1" applyFont="1" applyBorder="1"/>
    <xf numFmtId="165" fontId="10" fillId="0" borderId="10" xfId="0" applyNumberFormat="1" applyFont="1" applyFill="1" applyBorder="1" applyAlignment="1">
      <alignment horizontal="center"/>
    </xf>
    <xf numFmtId="3" fontId="10" fillId="0" borderId="10" xfId="0" applyNumberFormat="1" applyFont="1" applyFill="1" applyBorder="1"/>
    <xf numFmtId="3" fontId="10" fillId="0" borderId="11" xfId="0" applyNumberFormat="1" applyFont="1" applyBorder="1"/>
    <xf numFmtId="0" fontId="10" fillId="0" borderId="0" xfId="0" applyFont="1"/>
    <xf numFmtId="4" fontId="10" fillId="0" borderId="0" xfId="0" applyNumberFormat="1" applyFont="1"/>
    <xf numFmtId="0" fontId="3" fillId="0" borderId="0" xfId="3" applyFont="1" applyBorder="1" applyAlignment="1">
      <alignment vertical="center"/>
    </xf>
    <xf numFmtId="0" fontId="9" fillId="0" borderId="0" xfId="0" applyFont="1" applyAlignment="1">
      <alignment horizontal="right"/>
    </xf>
    <xf numFmtId="3" fontId="10" fillId="0" borderId="21" xfId="0" applyNumberFormat="1" applyFont="1" applyBorder="1"/>
    <xf numFmtId="3" fontId="10" fillId="0" borderId="18" xfId="0" applyNumberFormat="1" applyFont="1" applyBorder="1"/>
    <xf numFmtId="0" fontId="3" fillId="0" borderId="27" xfId="3" applyFont="1" applyBorder="1" applyAlignment="1">
      <alignment vertical="center"/>
    </xf>
    <xf numFmtId="165" fontId="10" fillId="0" borderId="28" xfId="0" applyNumberFormat="1" applyFont="1" applyBorder="1" applyAlignment="1">
      <alignment horizontal="center"/>
    </xf>
    <xf numFmtId="3" fontId="10" fillId="0" borderId="28" xfId="0" applyNumberFormat="1" applyFont="1" applyBorder="1"/>
    <xf numFmtId="165" fontId="10" fillId="0" borderId="28" xfId="0" applyNumberFormat="1" applyFont="1" applyFill="1" applyBorder="1" applyAlignment="1">
      <alignment horizontal="center"/>
    </xf>
    <xf numFmtId="3" fontId="10" fillId="0" borderId="28" xfId="0" applyNumberFormat="1" applyFont="1" applyFill="1" applyBorder="1"/>
    <xf numFmtId="165" fontId="10" fillId="0" borderId="29" xfId="0" applyNumberFormat="1" applyFont="1" applyBorder="1" applyAlignment="1">
      <alignment horizont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3" xfId="0" applyFont="1" applyFill="1" applyBorder="1"/>
    <xf numFmtId="165" fontId="9" fillId="0" borderId="4" xfId="0" applyNumberFormat="1" applyFont="1" applyFill="1" applyBorder="1" applyAlignment="1">
      <alignment horizontal="center"/>
    </xf>
    <xf numFmtId="3" fontId="9" fillId="0" borderId="4" xfId="0" applyNumberFormat="1" applyFont="1" applyFill="1" applyBorder="1" applyAlignment="1">
      <alignment horizontal="center"/>
    </xf>
    <xf numFmtId="3" fontId="9" fillId="0" borderId="5" xfId="0" applyNumberFormat="1" applyFont="1" applyFill="1" applyBorder="1"/>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xf>
    <xf numFmtId="165" fontId="9" fillId="0" borderId="20" xfId="0" applyNumberFormat="1" applyFont="1" applyFill="1" applyBorder="1" applyAlignment="1">
      <alignment horizontal="center"/>
    </xf>
    <xf numFmtId="3" fontId="9" fillId="0" borderId="19" xfId="0" applyNumberFormat="1" applyFont="1" applyFill="1" applyBorder="1"/>
    <xf numFmtId="0" fontId="8" fillId="0" borderId="3" xfId="0" applyFont="1" applyFill="1" applyBorder="1"/>
    <xf numFmtId="3" fontId="8" fillId="0" borderId="4" xfId="0" applyNumberFormat="1" applyFont="1" applyFill="1" applyBorder="1" applyAlignment="1">
      <alignment horizontal="right"/>
    </xf>
    <xf numFmtId="3" fontId="8" fillId="0" borderId="5" xfId="0" applyNumberFormat="1" applyFont="1" applyFill="1" applyBorder="1" applyAlignment="1">
      <alignment horizontal="right"/>
    </xf>
    <xf numFmtId="0" fontId="6" fillId="0" borderId="0" xfId="6" applyFont="1"/>
    <xf numFmtId="0" fontId="2" fillId="0" borderId="0" xfId="6" applyAlignment="1">
      <alignment horizontal="center"/>
    </xf>
    <xf numFmtId="0" fontId="2" fillId="0" borderId="0" xfId="6"/>
    <xf numFmtId="0" fontId="8" fillId="0" borderId="0" xfId="6" applyFont="1" applyAlignment="1">
      <alignment horizontal="center"/>
    </xf>
    <xf numFmtId="0" fontId="8" fillId="0" borderId="35" xfId="6" applyFont="1" applyBorder="1" applyAlignment="1">
      <alignment horizontal="center" vertical="center" wrapText="1"/>
    </xf>
    <xf numFmtId="0" fontId="13" fillId="0" borderId="31" xfId="6" applyFont="1" applyFill="1" applyBorder="1" applyAlignment="1">
      <alignment horizontal="center"/>
    </xf>
    <xf numFmtId="0" fontId="13" fillId="0" borderId="35" xfId="6" applyFont="1" applyFill="1" applyBorder="1" applyAlignment="1">
      <alignment horizontal="center"/>
    </xf>
    <xf numFmtId="0" fontId="13" fillId="0" borderId="37" xfId="6" applyFont="1" applyFill="1" applyBorder="1" applyAlignment="1">
      <alignment horizontal="center"/>
    </xf>
    <xf numFmtId="0" fontId="13" fillId="0" borderId="39" xfId="6" applyFont="1" applyFill="1" applyBorder="1" applyAlignment="1">
      <alignment horizontal="center"/>
    </xf>
    <xf numFmtId="9" fontId="13" fillId="0" borderId="39" xfId="6" applyNumberFormat="1" applyFont="1" applyFill="1" applyBorder="1" applyAlignment="1">
      <alignment horizontal="center"/>
    </xf>
    <xf numFmtId="3" fontId="13" fillId="0" borderId="37" xfId="6" applyNumberFormat="1" applyFont="1" applyFill="1" applyBorder="1" applyAlignment="1">
      <alignment horizontal="center"/>
    </xf>
    <xf numFmtId="3" fontId="13" fillId="0" borderId="39" xfId="6" applyNumberFormat="1" applyFont="1" applyFill="1" applyBorder="1" applyAlignment="1">
      <alignment horizontal="center"/>
    </xf>
    <xf numFmtId="49" fontId="13" fillId="0" borderId="40" xfId="6" applyNumberFormat="1" applyFont="1" applyFill="1" applyBorder="1" applyAlignment="1">
      <alignment horizontal="center"/>
    </xf>
    <xf numFmtId="49" fontId="13" fillId="0" borderId="43" xfId="6" applyNumberFormat="1" applyFont="1" applyFill="1" applyBorder="1" applyAlignment="1">
      <alignment horizontal="center"/>
    </xf>
    <xf numFmtId="49" fontId="13" fillId="0" borderId="43" xfId="6" applyNumberFormat="1" applyFont="1" applyBorder="1" applyAlignment="1">
      <alignment horizontal="center" vertical="center" wrapText="1"/>
    </xf>
    <xf numFmtId="49" fontId="15" fillId="0" borderId="44" xfId="6" applyNumberFormat="1" applyFont="1" applyFill="1" applyBorder="1" applyAlignment="1">
      <alignment horizontal="center" vertical="center" wrapText="1"/>
    </xf>
    <xf numFmtId="0" fontId="13" fillId="0" borderId="43" xfId="6" applyFont="1" applyBorder="1" applyAlignment="1">
      <alignment vertical="center" wrapText="1"/>
    </xf>
    <xf numFmtId="0" fontId="11" fillId="0" borderId="45" xfId="6" applyFont="1" applyFill="1" applyBorder="1"/>
    <xf numFmtId="3" fontId="11" fillId="0" borderId="27" xfId="6" applyNumberFormat="1" applyFont="1" applyFill="1" applyBorder="1"/>
    <xf numFmtId="166" fontId="11" fillId="0" borderId="28" xfId="6" applyNumberFormat="1" applyFont="1" applyFill="1" applyBorder="1"/>
    <xf numFmtId="165" fontId="11" fillId="0" borderId="28" xfId="6" applyNumberFormat="1" applyFont="1" applyFill="1" applyBorder="1"/>
    <xf numFmtId="167" fontId="11" fillId="0" borderId="21" xfId="6" applyNumberFormat="1" applyFont="1" applyFill="1" applyBorder="1" applyAlignment="1">
      <alignment horizontal="right"/>
    </xf>
    <xf numFmtId="167" fontId="11" fillId="0" borderId="27" xfId="6" applyNumberFormat="1" applyFont="1" applyFill="1" applyBorder="1" applyAlignment="1">
      <alignment horizontal="right"/>
    </xf>
    <xf numFmtId="167" fontId="11" fillId="0" borderId="28" xfId="6" applyNumberFormat="1" applyFont="1" applyFill="1" applyBorder="1" applyAlignment="1">
      <alignment horizontal="right"/>
    </xf>
    <xf numFmtId="3" fontId="11" fillId="0" borderId="21" xfId="6" applyNumberFormat="1" applyFont="1" applyFill="1" applyBorder="1"/>
    <xf numFmtId="167" fontId="11" fillId="0" borderId="46" xfId="6" applyNumberFormat="1" applyFont="1" applyFill="1" applyBorder="1"/>
    <xf numFmtId="3" fontId="11" fillId="0" borderId="29" xfId="6" applyNumberFormat="1" applyFont="1" applyFill="1" applyBorder="1"/>
    <xf numFmtId="167" fontId="11" fillId="0" borderId="47" xfId="6" applyNumberFormat="1" applyFont="1" applyFill="1" applyBorder="1"/>
    <xf numFmtId="165" fontId="2" fillId="0" borderId="36" xfId="6" applyNumberFormat="1" applyFill="1" applyBorder="1"/>
    <xf numFmtId="3" fontId="2" fillId="0" borderId="0" xfId="6" applyNumberFormat="1" applyFill="1"/>
    <xf numFmtId="165" fontId="2" fillId="0" borderId="0" xfId="6" applyNumberFormat="1" applyFill="1"/>
    <xf numFmtId="0" fontId="2" fillId="0" borderId="0" xfId="6" applyFill="1"/>
    <xf numFmtId="166" fontId="11" fillId="0" borderId="2" xfId="6" applyNumberFormat="1" applyFont="1" applyFill="1" applyBorder="1"/>
    <xf numFmtId="167" fontId="11" fillId="0" borderId="36" xfId="6" applyNumberFormat="1" applyFont="1" applyFill="1" applyBorder="1"/>
    <xf numFmtId="0" fontId="11" fillId="0" borderId="48" xfId="6" applyFont="1" applyFill="1" applyBorder="1"/>
    <xf numFmtId="3" fontId="11" fillId="0" borderId="9" xfId="6" applyNumberFormat="1" applyFont="1" applyFill="1" applyBorder="1"/>
    <xf numFmtId="166" fontId="11" fillId="0" borderId="15" xfId="6" applyNumberFormat="1" applyFont="1" applyFill="1" applyBorder="1"/>
    <xf numFmtId="165" fontId="11" fillId="0" borderId="15" xfId="6" applyNumberFormat="1" applyFont="1" applyFill="1" applyBorder="1"/>
    <xf numFmtId="167" fontId="11" fillId="0" borderId="11" xfId="6" applyNumberFormat="1" applyFont="1" applyFill="1" applyBorder="1" applyAlignment="1">
      <alignment horizontal="right"/>
    </xf>
    <xf numFmtId="167" fontId="11" fillId="0" borderId="9" xfId="6" applyNumberFormat="1" applyFont="1" applyFill="1" applyBorder="1" applyAlignment="1">
      <alignment horizontal="right"/>
    </xf>
    <xf numFmtId="167" fontId="11" fillId="0" borderId="10" xfId="6" applyNumberFormat="1" applyFont="1" applyFill="1" applyBorder="1" applyAlignment="1">
      <alignment horizontal="right"/>
    </xf>
    <xf numFmtId="166" fontId="11" fillId="0" borderId="10" xfId="6" applyNumberFormat="1" applyFont="1" applyFill="1" applyBorder="1"/>
    <xf numFmtId="3" fontId="11" fillId="0" borderId="11" xfId="6" applyNumberFormat="1" applyFont="1" applyFill="1" applyBorder="1"/>
    <xf numFmtId="167" fontId="11" fillId="0" borderId="49" xfId="6" applyNumberFormat="1" applyFont="1" applyFill="1" applyBorder="1"/>
    <xf numFmtId="3" fontId="11" fillId="0" borderId="50" xfId="6" applyNumberFormat="1" applyFont="1" applyFill="1" applyBorder="1"/>
    <xf numFmtId="0" fontId="12" fillId="0" borderId="43" xfId="6" applyFont="1" applyFill="1" applyBorder="1"/>
    <xf numFmtId="3" fontId="12" fillId="0" borderId="50" xfId="6" applyNumberFormat="1" applyFont="1" applyFill="1" applyBorder="1"/>
    <xf numFmtId="166" fontId="12" fillId="0" borderId="19" xfId="6" applyNumberFormat="1" applyFont="1" applyFill="1" applyBorder="1"/>
    <xf numFmtId="167" fontId="12" fillId="0" borderId="43" xfId="6" applyNumberFormat="1" applyFont="1" applyFill="1" applyBorder="1" applyAlignment="1">
      <alignment horizontal="right"/>
    </xf>
    <xf numFmtId="166" fontId="12" fillId="0" borderId="40" xfId="6" applyNumberFormat="1" applyFont="1" applyFill="1" applyBorder="1"/>
    <xf numFmtId="165" fontId="12" fillId="0" borderId="43" xfId="6" applyNumberFormat="1" applyFont="1" applyFill="1" applyBorder="1"/>
    <xf numFmtId="3" fontId="12" fillId="0" borderId="43" xfId="6" applyNumberFormat="1" applyFont="1" applyFill="1" applyBorder="1"/>
    <xf numFmtId="167" fontId="12" fillId="0" borderId="43" xfId="6" applyNumberFormat="1" applyFont="1" applyFill="1" applyBorder="1"/>
    <xf numFmtId="165" fontId="12" fillId="0" borderId="40" xfId="6" applyNumberFormat="1" applyFont="1" applyFill="1" applyBorder="1"/>
    <xf numFmtId="3" fontId="12" fillId="0" borderId="19" xfId="6" applyNumberFormat="1" applyFont="1" applyFill="1" applyBorder="1"/>
    <xf numFmtId="0" fontId="6" fillId="0" borderId="0" xfId="6" applyFont="1" applyBorder="1" applyAlignment="1">
      <alignment horizontal="left" vertical="center"/>
    </xf>
    <xf numFmtId="3" fontId="12" fillId="0" borderId="0" xfId="6" applyNumberFormat="1" applyFont="1" applyFill="1" applyBorder="1"/>
    <xf numFmtId="166" fontId="12" fillId="0" borderId="0" xfId="6" applyNumberFormat="1" applyFont="1" applyFill="1" applyBorder="1"/>
    <xf numFmtId="168" fontId="12" fillId="0" borderId="0" xfId="6" applyNumberFormat="1" applyFont="1" applyFill="1" applyBorder="1"/>
    <xf numFmtId="167" fontId="12" fillId="0" borderId="0" xfId="6" applyNumberFormat="1" applyFont="1" applyFill="1" applyBorder="1" applyAlignment="1">
      <alignment horizontal="right"/>
    </xf>
    <xf numFmtId="165" fontId="12" fillId="0" borderId="0" xfId="6" applyNumberFormat="1" applyFont="1" applyFill="1" applyBorder="1"/>
    <xf numFmtId="167" fontId="12" fillId="0" borderId="0" xfId="6" applyNumberFormat="1" applyFont="1" applyFill="1" applyBorder="1"/>
    <xf numFmtId="0" fontId="6" fillId="0" borderId="0" xfId="6" applyFont="1" applyAlignment="1"/>
    <xf numFmtId="3" fontId="2" fillId="0" borderId="0" xfId="6" applyNumberFormat="1"/>
    <xf numFmtId="0" fontId="8" fillId="0" borderId="53" xfId="6" applyFont="1" applyFill="1" applyBorder="1" applyAlignment="1">
      <alignment wrapText="1"/>
    </xf>
    <xf numFmtId="0" fontId="8" fillId="0" borderId="0" xfId="6" applyFont="1" applyFill="1" applyBorder="1" applyAlignment="1">
      <alignment horizontal="center"/>
    </xf>
    <xf numFmtId="0" fontId="8" fillId="0" borderId="31" xfId="6" applyFont="1" applyFill="1" applyBorder="1" applyAlignment="1">
      <alignment horizontal="center"/>
    </xf>
    <xf numFmtId="0" fontId="8" fillId="0" borderId="35" xfId="6" applyFont="1" applyFill="1" applyBorder="1" applyAlignment="1">
      <alignment horizontal="center" wrapText="1"/>
    </xf>
    <xf numFmtId="0" fontId="8" fillId="0" borderId="35" xfId="6" applyFont="1" applyFill="1" applyBorder="1" applyAlignment="1"/>
    <xf numFmtId="0" fontId="8" fillId="0" borderId="0" xfId="6" applyFont="1" applyFill="1" applyBorder="1" applyAlignment="1"/>
    <xf numFmtId="0" fontId="8" fillId="0" borderId="37" xfId="6" applyFont="1" applyFill="1" applyBorder="1" applyAlignment="1">
      <alignment horizontal="center"/>
    </xf>
    <xf numFmtId="0" fontId="8" fillId="0" borderId="39" xfId="6" applyFont="1" applyFill="1" applyBorder="1" applyAlignment="1">
      <alignment horizontal="center"/>
    </xf>
    <xf numFmtId="9" fontId="8" fillId="0" borderId="0" xfId="6" applyNumberFormat="1" applyFont="1" applyFill="1" applyBorder="1" applyAlignment="1">
      <alignment horizontal="center"/>
    </xf>
    <xf numFmtId="49" fontId="8" fillId="0" borderId="51" xfId="6" applyNumberFormat="1" applyFont="1" applyFill="1" applyBorder="1" applyAlignment="1">
      <alignment horizontal="center"/>
    </xf>
    <xf numFmtId="49" fontId="8" fillId="0" borderId="40" xfId="6" applyNumberFormat="1" applyFont="1" applyFill="1" applyBorder="1" applyAlignment="1">
      <alignment horizontal="center"/>
    </xf>
    <xf numFmtId="49" fontId="8" fillId="0" borderId="47" xfId="6" applyNumberFormat="1" applyFont="1" applyFill="1" applyBorder="1" applyAlignment="1">
      <alignment horizontal="center"/>
    </xf>
    <xf numFmtId="49" fontId="8" fillId="0" borderId="3" xfId="6" applyNumberFormat="1" applyFont="1" applyFill="1" applyBorder="1" applyAlignment="1">
      <alignment horizontal="center"/>
    </xf>
    <xf numFmtId="49" fontId="8" fillId="0" borderId="5" xfId="6" applyNumberFormat="1" applyFont="1" applyFill="1" applyBorder="1" applyAlignment="1">
      <alignment horizontal="center"/>
    </xf>
    <xf numFmtId="49" fontId="8" fillId="0" borderId="49" xfId="6" applyNumberFormat="1" applyFont="1" applyFill="1" applyBorder="1" applyAlignment="1">
      <alignment horizontal="center"/>
    </xf>
    <xf numFmtId="49" fontId="6" fillId="0" borderId="50" xfId="6" applyNumberFormat="1" applyFont="1" applyFill="1" applyBorder="1" applyAlignment="1">
      <alignment horizontal="center"/>
    </xf>
    <xf numFmtId="49" fontId="8" fillId="0" borderId="54" xfId="6" applyNumberFormat="1" applyFont="1" applyFill="1" applyBorder="1" applyAlignment="1">
      <alignment horizontal="center"/>
    </xf>
    <xf numFmtId="49" fontId="8" fillId="0" borderId="30" xfId="6" applyNumberFormat="1" applyFont="1" applyFill="1" applyBorder="1" applyAlignment="1">
      <alignment horizontal="center"/>
    </xf>
    <xf numFmtId="49" fontId="8" fillId="0" borderId="17" xfId="6" applyNumberFormat="1" applyFont="1" applyFill="1" applyBorder="1" applyAlignment="1">
      <alignment horizontal="center"/>
    </xf>
    <xf numFmtId="49" fontId="8" fillId="0" borderId="52" xfId="6" applyNumberFormat="1" applyFont="1" applyFill="1" applyBorder="1" applyAlignment="1">
      <alignment horizontal="center"/>
    </xf>
    <xf numFmtId="0" fontId="5" fillId="0" borderId="0" xfId="6" applyFont="1"/>
    <xf numFmtId="0" fontId="6" fillId="0" borderId="39" xfId="6" applyFont="1" applyFill="1" applyBorder="1"/>
    <xf numFmtId="3" fontId="6" fillId="0" borderId="42" xfId="6" applyNumberFormat="1" applyFont="1" applyFill="1" applyBorder="1"/>
    <xf numFmtId="165" fontId="6" fillId="0" borderId="55" xfId="6" applyNumberFormat="1" applyFont="1" applyFill="1" applyBorder="1"/>
    <xf numFmtId="3" fontId="6" fillId="0" borderId="56" xfId="6" applyNumberFormat="1" applyFont="1" applyFill="1" applyBorder="1"/>
    <xf numFmtId="3" fontId="6" fillId="0" borderId="39" xfId="6" applyNumberFormat="1" applyFont="1" applyFill="1" applyBorder="1"/>
    <xf numFmtId="165" fontId="6" fillId="0" borderId="0" xfId="6" applyNumberFormat="1" applyFont="1" applyFill="1" applyBorder="1"/>
    <xf numFmtId="3" fontId="8" fillId="0" borderId="39" xfId="6" applyNumberFormat="1" applyFont="1" applyFill="1" applyBorder="1"/>
    <xf numFmtId="3" fontId="6" fillId="0" borderId="0" xfId="6" applyNumberFormat="1" applyFont="1" applyFill="1" applyBorder="1"/>
    <xf numFmtId="165" fontId="2" fillId="0" borderId="0" xfId="6" applyNumberFormat="1"/>
    <xf numFmtId="4" fontId="2" fillId="0" borderId="0" xfId="6" applyNumberFormat="1"/>
    <xf numFmtId="165" fontId="5" fillId="0" borderId="0" xfId="6" applyNumberFormat="1" applyFont="1"/>
    <xf numFmtId="3" fontId="8" fillId="0" borderId="0" xfId="6" applyNumberFormat="1" applyFont="1" applyFill="1" applyBorder="1"/>
    <xf numFmtId="4" fontId="2" fillId="0" borderId="0" xfId="6" applyNumberFormat="1" applyFill="1"/>
    <xf numFmtId="0" fontId="5" fillId="0" borderId="0" xfId="6" applyFont="1" applyFill="1"/>
    <xf numFmtId="165" fontId="5" fillId="0" borderId="0" xfId="6" applyNumberFormat="1" applyFont="1" applyFill="1"/>
    <xf numFmtId="0" fontId="6" fillId="0" borderId="43" xfId="6" applyFont="1" applyFill="1" applyBorder="1"/>
    <xf numFmtId="3" fontId="6" fillId="0" borderId="43" xfId="6" applyNumberFormat="1" applyFont="1" applyFill="1" applyBorder="1"/>
    <xf numFmtId="0" fontId="8" fillId="0" borderId="33" xfId="6" applyFont="1" applyFill="1" applyBorder="1"/>
    <xf numFmtId="3" fontId="8" fillId="0" borderId="44" xfId="6" applyNumberFormat="1" applyFont="1" applyFill="1" applyBorder="1"/>
    <xf numFmtId="165" fontId="8" fillId="0" borderId="4" xfId="6" applyNumberFormat="1" applyFont="1" applyFill="1" applyBorder="1"/>
    <xf numFmtId="3" fontId="8" fillId="0" borderId="4" xfId="6" applyNumberFormat="1" applyFont="1" applyFill="1" applyBorder="1"/>
    <xf numFmtId="3" fontId="8" fillId="0" borderId="15" xfId="6" applyNumberFormat="1" applyFont="1" applyFill="1" applyBorder="1"/>
    <xf numFmtId="165" fontId="8" fillId="0" borderId="20" xfId="6" applyNumberFormat="1" applyFont="1" applyFill="1" applyBorder="1"/>
    <xf numFmtId="3" fontId="8" fillId="0" borderId="19" xfId="6" applyNumberFormat="1" applyFont="1" applyFill="1" applyBorder="1"/>
    <xf numFmtId="3" fontId="8" fillId="0" borderId="20" xfId="6" applyNumberFormat="1" applyFont="1" applyFill="1" applyBorder="1"/>
    <xf numFmtId="4" fontId="6" fillId="0" borderId="0" xfId="6" applyNumberFormat="1" applyFont="1" applyFill="1"/>
    <xf numFmtId="4" fontId="6" fillId="0" borderId="0" xfId="6" applyNumberFormat="1" applyFont="1"/>
    <xf numFmtId="169" fontId="2" fillId="0" borderId="0" xfId="6" applyNumberFormat="1" applyFill="1"/>
    <xf numFmtId="0" fontId="8" fillId="0" borderId="1" xfId="6" applyFont="1" applyBorder="1" applyAlignment="1">
      <alignment horizontal="center"/>
    </xf>
    <xf numFmtId="0" fontId="8" fillId="0" borderId="1" xfId="6" applyFont="1" applyBorder="1" applyAlignment="1">
      <alignment horizontal="center" vertical="center"/>
    </xf>
    <xf numFmtId="0" fontId="8" fillId="0" borderId="57" xfId="6" applyFont="1" applyBorder="1" applyAlignment="1">
      <alignment horizontal="center"/>
    </xf>
    <xf numFmtId="0" fontId="8" fillId="0" borderId="57" xfId="6" applyFont="1" applyBorder="1" applyAlignment="1">
      <alignment horizontal="center" vertical="center"/>
    </xf>
    <xf numFmtId="49" fontId="8" fillId="0" borderId="57" xfId="6" applyNumberFormat="1" applyFont="1" applyBorder="1" applyAlignment="1">
      <alignment horizontal="center"/>
    </xf>
    <xf numFmtId="49" fontId="8" fillId="0" borderId="28" xfId="6" applyNumberFormat="1" applyFont="1" applyBorder="1" applyAlignment="1">
      <alignment horizontal="center"/>
    </xf>
    <xf numFmtId="0" fontId="6" fillId="0" borderId="58" xfId="6" applyFont="1" applyBorder="1"/>
    <xf numFmtId="4" fontId="18" fillId="0" borderId="0" xfId="6" applyNumberFormat="1" applyFont="1"/>
    <xf numFmtId="0" fontId="6" fillId="0" borderId="56" xfId="6" applyFont="1" applyBorder="1"/>
    <xf numFmtId="0" fontId="8" fillId="0" borderId="2" xfId="6" applyFont="1" applyBorder="1"/>
    <xf numFmtId="4" fontId="8" fillId="0" borderId="2" xfId="6" applyNumberFormat="1" applyFont="1" applyBorder="1"/>
    <xf numFmtId="2" fontId="8" fillId="0" borderId="2" xfId="6" applyNumberFormat="1" applyFont="1" applyBorder="1"/>
    <xf numFmtId="0" fontId="6" fillId="0" borderId="0" xfId="6" applyFont="1" applyAlignment="1">
      <alignment horizontal="center"/>
    </xf>
    <xf numFmtId="0" fontId="6" fillId="0" borderId="31" xfId="6" applyFont="1" applyBorder="1"/>
    <xf numFmtId="165" fontId="6" fillId="0" borderId="35" xfId="6" applyNumberFormat="1" applyFont="1" applyBorder="1"/>
    <xf numFmtId="3" fontId="6" fillId="0" borderId="35" xfId="6" applyNumberFormat="1" applyFont="1" applyFill="1" applyBorder="1" applyAlignment="1">
      <alignment horizontal="right"/>
    </xf>
    <xf numFmtId="2" fontId="2" fillId="0" borderId="0" xfId="6" applyNumberFormat="1"/>
    <xf numFmtId="0" fontId="6" fillId="0" borderId="37" xfId="6" applyFont="1" applyBorder="1"/>
    <xf numFmtId="165" fontId="6" fillId="0" borderId="39" xfId="6" applyNumberFormat="1" applyFont="1" applyBorder="1"/>
    <xf numFmtId="3" fontId="6" fillId="0" borderId="39" xfId="6" applyNumberFormat="1" applyFont="1" applyFill="1" applyBorder="1" applyAlignment="1">
      <alignment horizontal="right"/>
    </xf>
    <xf numFmtId="0" fontId="6" fillId="0" borderId="40" xfId="6" applyFont="1" applyBorder="1"/>
    <xf numFmtId="165" fontId="6" fillId="0" borderId="43" xfId="6" applyNumberFormat="1" applyFont="1" applyBorder="1"/>
    <xf numFmtId="3" fontId="6" fillId="0" borderId="43" xfId="6" applyNumberFormat="1" applyFont="1" applyFill="1" applyBorder="1" applyAlignment="1">
      <alignment horizontal="right"/>
    </xf>
    <xf numFmtId="0" fontId="8" fillId="0" borderId="32" xfId="6" applyFont="1" applyBorder="1"/>
    <xf numFmtId="3" fontId="8" fillId="0" borderId="5" xfId="6" applyNumberFormat="1" applyFont="1" applyFill="1" applyBorder="1" applyAlignment="1">
      <alignment horizontal="right"/>
    </xf>
    <xf numFmtId="0" fontId="6" fillId="0" borderId="0" xfId="6" applyFont="1" applyAlignment="1">
      <alignment vertical="top"/>
    </xf>
    <xf numFmtId="0" fontId="6" fillId="0" borderId="0" xfId="6" applyFont="1" applyFill="1" applyBorder="1"/>
    <xf numFmtId="0" fontId="6" fillId="0" borderId="0" xfId="6" applyFont="1" applyFill="1" applyBorder="1" applyAlignment="1">
      <alignment horizontal="center"/>
    </xf>
    <xf numFmtId="0" fontId="2" fillId="0" borderId="0" xfId="6" applyFill="1" applyBorder="1"/>
    <xf numFmtId="0" fontId="19" fillId="0" borderId="35" xfId="6" applyFont="1" applyFill="1" applyBorder="1" applyAlignment="1">
      <alignment horizontal="center"/>
    </xf>
    <xf numFmtId="0" fontId="19" fillId="0" borderId="59" xfId="6" applyFont="1" applyFill="1" applyBorder="1" applyAlignment="1">
      <alignment horizontal="center"/>
    </xf>
    <xf numFmtId="0" fontId="19" fillId="0" borderId="39" xfId="6" applyFont="1" applyFill="1" applyBorder="1" applyAlignment="1">
      <alignment horizontal="center"/>
    </xf>
    <xf numFmtId="0" fontId="19" fillId="0" borderId="0" xfId="6" applyFont="1" applyFill="1" applyBorder="1" applyAlignment="1">
      <alignment horizontal="center"/>
    </xf>
    <xf numFmtId="49" fontId="19" fillId="0" borderId="39" xfId="6" applyNumberFormat="1" applyFont="1" applyFill="1" applyBorder="1" applyAlignment="1">
      <alignment horizontal="center"/>
    </xf>
    <xf numFmtId="49" fontId="19" fillId="0" borderId="0" xfId="6" applyNumberFormat="1" applyFont="1" applyFill="1" applyBorder="1" applyAlignment="1">
      <alignment horizontal="center"/>
    </xf>
    <xf numFmtId="49" fontId="19" fillId="0" borderId="44" xfId="6" applyNumberFormat="1" applyFont="1" applyFill="1" applyBorder="1" applyAlignment="1">
      <alignment horizontal="center"/>
    </xf>
    <xf numFmtId="0" fontId="19" fillId="0" borderId="43" xfId="6" applyFont="1" applyFill="1" applyBorder="1" applyAlignment="1">
      <alignment horizontal="center"/>
    </xf>
    <xf numFmtId="49" fontId="19" fillId="0" borderId="43" xfId="6" applyNumberFormat="1" applyFont="1" applyFill="1" applyBorder="1" applyAlignment="1">
      <alignment horizontal="center"/>
    </xf>
    <xf numFmtId="49" fontId="19" fillId="2" borderId="42" xfId="6" applyNumberFormat="1" applyFont="1" applyFill="1" applyBorder="1" applyAlignment="1">
      <alignment horizontal="center"/>
    </xf>
    <xf numFmtId="49" fontId="19" fillId="2" borderId="39" xfId="6" applyNumberFormat="1" applyFont="1" applyFill="1" applyBorder="1" applyAlignment="1">
      <alignment horizontal="center"/>
    </xf>
    <xf numFmtId="0" fontId="2" fillId="2" borderId="0" xfId="6" applyFill="1"/>
    <xf numFmtId="0" fontId="6" fillId="0" borderId="35" xfId="6" applyFont="1" applyFill="1" applyBorder="1"/>
    <xf numFmtId="3" fontId="6" fillId="0" borderId="35" xfId="6" applyNumberFormat="1" applyFont="1" applyFill="1" applyBorder="1"/>
    <xf numFmtId="166" fontId="6" fillId="0" borderId="35" xfId="6" applyNumberFormat="1" applyFont="1" applyFill="1" applyBorder="1"/>
    <xf numFmtId="3" fontId="6" fillId="0" borderId="59" xfId="6" applyNumberFormat="1" applyFont="1" applyFill="1" applyBorder="1"/>
    <xf numFmtId="165" fontId="6" fillId="0" borderId="35" xfId="6" applyNumberFormat="1" applyFont="1" applyFill="1" applyBorder="1"/>
    <xf numFmtId="3" fontId="6" fillId="0" borderId="35" xfId="6" applyNumberFormat="1" applyFont="1" applyFill="1" applyBorder="1" applyAlignment="1"/>
    <xf numFmtId="165" fontId="2" fillId="2" borderId="0" xfId="6" applyNumberFormat="1" applyFill="1"/>
    <xf numFmtId="166" fontId="6" fillId="0" borderId="39" xfId="6" applyNumberFormat="1" applyFont="1" applyFill="1" applyBorder="1"/>
    <xf numFmtId="165" fontId="6" fillId="0" borderId="39" xfId="6" applyNumberFormat="1" applyFont="1" applyFill="1" applyBorder="1"/>
    <xf numFmtId="3" fontId="6" fillId="0" borderId="39" xfId="6" applyNumberFormat="1" applyFont="1" applyFill="1" applyBorder="1" applyAlignment="1"/>
    <xf numFmtId="166" fontId="6" fillId="0" borderId="43" xfId="6" applyNumberFormat="1" applyFont="1" applyFill="1" applyBorder="1"/>
    <xf numFmtId="0" fontId="6" fillId="0" borderId="19" xfId="6" applyFont="1" applyFill="1" applyBorder="1"/>
    <xf numFmtId="3" fontId="8" fillId="0" borderId="43" xfId="6" applyNumberFormat="1" applyFont="1" applyFill="1" applyBorder="1"/>
    <xf numFmtId="166" fontId="8" fillId="0" borderId="44" xfId="6" applyNumberFormat="1" applyFont="1" applyFill="1" applyBorder="1"/>
    <xf numFmtId="3" fontId="8" fillId="0" borderId="33" xfId="6" applyNumberFormat="1" applyFont="1" applyFill="1" applyBorder="1"/>
    <xf numFmtId="165" fontId="8" fillId="0" borderId="19" xfId="6" applyNumberFormat="1" applyFont="1" applyFill="1" applyBorder="1"/>
    <xf numFmtId="3" fontId="8" fillId="0" borderId="19" xfId="6" applyNumberFormat="1" applyFont="1" applyFill="1" applyBorder="1" applyAlignment="1"/>
    <xf numFmtId="3" fontId="8" fillId="0" borderId="34" xfId="6" applyNumberFormat="1" applyFont="1" applyFill="1" applyBorder="1" applyAlignment="1"/>
    <xf numFmtId="0" fontId="6" fillId="0" borderId="0" xfId="6" applyFont="1" applyAlignment="1">
      <alignment horizontal="center" vertical="center"/>
    </xf>
    <xf numFmtId="166" fontId="8" fillId="0" borderId="26" xfId="6" applyNumberFormat="1" applyFont="1" applyBorder="1" applyAlignment="1">
      <alignment horizontal="center"/>
    </xf>
    <xf numFmtId="166" fontId="8" fillId="0" borderId="52" xfId="6" applyNumberFormat="1" applyFont="1" applyBorder="1" applyAlignment="1">
      <alignment horizontal="center"/>
    </xf>
    <xf numFmtId="0" fontId="8" fillId="0" borderId="52" xfId="6" applyFont="1" applyBorder="1" applyAlignment="1">
      <alignment horizontal="center"/>
    </xf>
    <xf numFmtId="0" fontId="6" fillId="0" borderId="35" xfId="6" applyFont="1" applyBorder="1" applyAlignment="1">
      <alignment horizontal="center" vertical="center"/>
    </xf>
    <xf numFmtId="44" fontId="6" fillId="0" borderId="59" xfId="7" applyFont="1" applyBorder="1"/>
    <xf numFmtId="166" fontId="6" fillId="0" borderId="59" xfId="6" applyNumberFormat="1" applyFont="1" applyBorder="1"/>
    <xf numFmtId="3" fontId="20" fillId="0" borderId="59" xfId="6" applyNumberFormat="1" applyFont="1" applyBorder="1" applyAlignment="1">
      <alignment horizontal="right" vertical="center" wrapText="1"/>
    </xf>
    <xf numFmtId="0" fontId="2" fillId="0" borderId="38" xfId="6" applyBorder="1"/>
    <xf numFmtId="166" fontId="6" fillId="0" borderId="31" xfId="6" applyNumberFormat="1" applyFont="1" applyBorder="1" applyAlignment="1">
      <alignment horizontal="center"/>
    </xf>
    <xf numFmtId="166" fontId="6" fillId="0" borderId="59" xfId="6" applyNumberFormat="1" applyFont="1" applyBorder="1" applyAlignment="1">
      <alignment horizontal="center"/>
    </xf>
    <xf numFmtId="0" fontId="2" fillId="0" borderId="59" xfId="6" applyBorder="1"/>
    <xf numFmtId="4" fontId="6" fillId="3" borderId="0" xfId="6" applyNumberFormat="1" applyFont="1" applyFill="1" applyBorder="1" applyAlignment="1">
      <alignment horizontal="right"/>
    </xf>
    <xf numFmtId="4" fontId="6" fillId="0" borderId="0" xfId="6" applyNumberFormat="1" applyFont="1" applyFill="1" applyBorder="1" applyAlignment="1">
      <alignment horizontal="right"/>
    </xf>
    <xf numFmtId="10" fontId="2" fillId="4" borderId="0" xfId="6" applyNumberFormat="1" applyFill="1"/>
    <xf numFmtId="10" fontId="2" fillId="0" borderId="0" xfId="6" applyNumberFormat="1" applyFill="1"/>
    <xf numFmtId="0" fontId="6" fillId="0" borderId="39" xfId="6" applyFont="1" applyBorder="1" applyAlignment="1">
      <alignment horizontal="center" vertical="center"/>
    </xf>
    <xf numFmtId="166" fontId="6" fillId="0" borderId="37" xfId="6" applyNumberFormat="1" applyFont="1" applyFill="1" applyBorder="1" applyAlignment="1">
      <alignment horizontal="center"/>
    </xf>
    <xf numFmtId="166" fontId="6" fillId="0" borderId="0" xfId="6" applyNumberFormat="1" applyFont="1" applyFill="1" applyBorder="1" applyAlignment="1">
      <alignment horizontal="center"/>
    </xf>
    <xf numFmtId="4" fontId="2" fillId="4" borderId="0" xfId="6" applyNumberFormat="1" applyFill="1"/>
    <xf numFmtId="0" fontId="6" fillId="0" borderId="0" xfId="6" applyFont="1" applyFill="1" applyBorder="1" applyAlignment="1">
      <alignment horizontal="left"/>
    </xf>
    <xf numFmtId="4" fontId="2" fillId="0" borderId="0" xfId="6" applyNumberFormat="1" applyFill="1" applyAlignment="1">
      <alignment horizontal="right"/>
    </xf>
    <xf numFmtId="0" fontId="6" fillId="0" borderId="37" xfId="6" applyFont="1" applyFill="1" applyBorder="1" applyAlignment="1">
      <alignment horizontal="left"/>
    </xf>
    <xf numFmtId="0" fontId="6" fillId="0" borderId="42" xfId="6" applyFont="1" applyFill="1" applyBorder="1" applyAlignment="1">
      <alignment horizontal="left"/>
    </xf>
    <xf numFmtId="0" fontId="6" fillId="0" borderId="37" xfId="6" applyFont="1" applyFill="1" applyBorder="1" applyAlignment="1">
      <alignment horizontal="right"/>
    </xf>
    <xf numFmtId="0" fontId="6" fillId="0" borderId="0" xfId="6" applyFont="1" applyFill="1" applyBorder="1" applyAlignment="1">
      <alignment horizontal="right"/>
    </xf>
    <xf numFmtId="0" fontId="2" fillId="0" borderId="0" xfId="6" applyFill="1" applyAlignment="1">
      <alignment horizontal="right"/>
    </xf>
    <xf numFmtId="0" fontId="6" fillId="0" borderId="37" xfId="6" applyFont="1" applyBorder="1" applyAlignment="1">
      <alignment horizontal="center" vertical="center"/>
    </xf>
    <xf numFmtId="4" fontId="6" fillId="0" borderId="2" xfId="6" applyNumberFormat="1" applyFont="1" applyFill="1" applyBorder="1" applyAlignment="1">
      <alignment horizontal="right"/>
    </xf>
    <xf numFmtId="4" fontId="6" fillId="0" borderId="13" xfId="6" applyNumberFormat="1" applyFont="1" applyFill="1" applyBorder="1" applyAlignment="1">
      <alignment horizontal="right"/>
    </xf>
    <xf numFmtId="0" fontId="6" fillId="0" borderId="40" xfId="6" applyFont="1" applyBorder="1" applyAlignment="1">
      <alignment horizontal="center" vertical="center"/>
    </xf>
    <xf numFmtId="0" fontId="6" fillId="0" borderId="57" xfId="6" applyFont="1" applyBorder="1" applyAlignment="1">
      <alignment horizontal="center" vertical="center"/>
    </xf>
    <xf numFmtId="0" fontId="6" fillId="0" borderId="24" xfId="6" applyFont="1" applyBorder="1" applyAlignment="1">
      <alignment horizontal="center" vertical="center"/>
    </xf>
    <xf numFmtId="0" fontId="6" fillId="0" borderId="56" xfId="6" applyFont="1" applyFill="1" applyBorder="1" applyAlignment="1">
      <alignment horizontal="right"/>
    </xf>
    <xf numFmtId="0" fontId="6" fillId="0" borderId="2" xfId="6" applyFont="1" applyFill="1" applyBorder="1" applyAlignment="1">
      <alignment horizontal="right"/>
    </xf>
    <xf numFmtId="0" fontId="6" fillId="0" borderId="10" xfId="6" applyFont="1" applyFill="1" applyBorder="1" applyAlignment="1">
      <alignment horizontal="right"/>
    </xf>
    <xf numFmtId="4" fontId="8" fillId="0" borderId="10" xfId="6" applyNumberFormat="1" applyFont="1" applyFill="1" applyBorder="1" applyAlignment="1">
      <alignment horizontal="right"/>
    </xf>
    <xf numFmtId="0" fontId="8" fillId="0" borderId="56" xfId="6" applyFont="1" applyFill="1" applyBorder="1" applyAlignment="1">
      <alignment horizontal="center"/>
    </xf>
    <xf numFmtId="0" fontId="8" fillId="0" borderId="55" xfId="6" applyFont="1" applyFill="1" applyBorder="1" applyAlignment="1">
      <alignment horizontal="center"/>
    </xf>
    <xf numFmtId="4" fontId="6" fillId="0" borderId="56" xfId="6" applyNumberFormat="1" applyFont="1" applyFill="1" applyBorder="1" applyAlignment="1">
      <alignment horizontal="right"/>
    </xf>
    <xf numFmtId="4" fontId="8" fillId="0" borderId="0" xfId="6" applyNumberFormat="1" applyFont="1" applyFill="1" applyBorder="1" applyAlignment="1">
      <alignment horizontal="right"/>
    </xf>
    <xf numFmtId="166" fontId="2" fillId="0" borderId="0" xfId="6" applyNumberFormat="1" applyFill="1"/>
    <xf numFmtId="0" fontId="6" fillId="5" borderId="57" xfId="6" applyFont="1" applyFill="1" applyBorder="1" applyAlignment="1">
      <alignment horizontal="center" vertical="center"/>
    </xf>
    <xf numFmtId="0" fontId="6" fillId="0" borderId="57" xfId="6" applyFont="1" applyFill="1" applyBorder="1" applyAlignment="1">
      <alignment horizontal="center" vertical="center"/>
    </xf>
    <xf numFmtId="0" fontId="6" fillId="0" borderId="56" xfId="6" applyFont="1" applyFill="1" applyBorder="1" applyAlignment="1">
      <alignment horizontal="left"/>
    </xf>
    <xf numFmtId="0" fontId="6" fillId="0" borderId="55" xfId="6" applyFont="1" applyFill="1" applyBorder="1" applyAlignment="1">
      <alignment horizontal="left"/>
    </xf>
    <xf numFmtId="3" fontId="6" fillId="0" borderId="56" xfId="6" applyNumberFormat="1" applyFont="1" applyFill="1" applyBorder="1" applyAlignment="1">
      <alignment horizontal="right"/>
    </xf>
    <xf numFmtId="3" fontId="6" fillId="0" borderId="0" xfId="6" applyNumberFormat="1" applyFont="1" applyFill="1" applyBorder="1" applyAlignment="1">
      <alignment horizontal="right"/>
    </xf>
    <xf numFmtId="0" fontId="6" fillId="0" borderId="2" xfId="6" applyFont="1" applyBorder="1" applyAlignment="1">
      <alignment horizontal="center" vertical="center"/>
    </xf>
    <xf numFmtId="0" fontId="6" fillId="0" borderId="0" xfId="6" applyFont="1" applyFill="1"/>
    <xf numFmtId="0" fontId="6" fillId="0" borderId="0" xfId="6" applyFont="1" applyFill="1" applyAlignment="1">
      <alignment horizontal="center"/>
    </xf>
    <xf numFmtId="0" fontId="6" fillId="0" borderId="0" xfId="6" applyFont="1" applyFill="1" applyAlignment="1">
      <alignment horizontal="center" vertical="center"/>
    </xf>
    <xf numFmtId="0" fontId="8" fillId="0" borderId="61" xfId="6" applyFont="1" applyFill="1" applyBorder="1" applyAlignment="1">
      <alignment horizontal="center"/>
    </xf>
    <xf numFmtId="0" fontId="8" fillId="0" borderId="2" xfId="6" applyFont="1" applyFill="1" applyBorder="1" applyAlignment="1">
      <alignment horizontal="center"/>
    </xf>
    <xf numFmtId="3" fontId="6" fillId="0" borderId="2" xfId="6" applyNumberFormat="1" applyFont="1" applyFill="1" applyBorder="1"/>
    <xf numFmtId="3" fontId="21" fillId="0" borderId="2" xfId="6" applyNumberFormat="1" applyFont="1" applyFill="1" applyBorder="1"/>
    <xf numFmtId="3" fontId="22" fillId="0" borderId="2" xfId="6" applyNumberFormat="1" applyFont="1" applyFill="1" applyBorder="1"/>
    <xf numFmtId="3" fontId="23" fillId="0" borderId="2" xfId="6" applyNumberFormat="1" applyFont="1" applyFill="1" applyBorder="1"/>
    <xf numFmtId="168" fontId="23" fillId="0" borderId="2" xfId="6" applyNumberFormat="1" applyFont="1" applyFill="1" applyBorder="1"/>
    <xf numFmtId="165" fontId="23" fillId="0" borderId="0" xfId="6" applyNumberFormat="1" applyFont="1" applyFill="1" applyBorder="1"/>
    <xf numFmtId="166" fontId="5" fillId="0" borderId="0" xfId="6" applyNumberFormat="1" applyFont="1" applyFill="1"/>
    <xf numFmtId="3" fontId="21" fillId="0" borderId="57" xfId="6" applyNumberFormat="1" applyFont="1" applyFill="1" applyBorder="1"/>
    <xf numFmtId="0" fontId="8" fillId="0" borderId="2" xfId="6" applyFont="1" applyFill="1" applyBorder="1"/>
    <xf numFmtId="3" fontId="24" fillId="0" borderId="2" xfId="6" applyNumberFormat="1" applyFont="1" applyFill="1" applyBorder="1"/>
    <xf numFmtId="3" fontId="23" fillId="0" borderId="0" xfId="6" applyNumberFormat="1" applyFont="1" applyFill="1" applyBorder="1"/>
    <xf numFmtId="0" fontId="2" fillId="0" borderId="0" xfId="6" applyFill="1" applyAlignment="1">
      <alignment horizontal="center"/>
    </xf>
    <xf numFmtId="3" fontId="21" fillId="0" borderId="56" xfId="6" applyNumberFormat="1" applyFont="1" applyFill="1" applyBorder="1"/>
    <xf numFmtId="0" fontId="6" fillId="0" borderId="39" xfId="6" applyFont="1" applyBorder="1"/>
    <xf numFmtId="3" fontId="6" fillId="0" borderId="35" xfId="6" applyNumberFormat="1" applyFont="1" applyBorder="1"/>
    <xf numFmtId="166" fontId="2" fillId="0" borderId="0" xfId="6" applyNumberFormat="1"/>
    <xf numFmtId="3" fontId="25" fillId="0" borderId="39" xfId="6" applyNumberFormat="1" applyFont="1" applyBorder="1" applyAlignment="1">
      <alignment horizontal="right" vertical="center" wrapText="1"/>
    </xf>
    <xf numFmtId="3" fontId="6" fillId="0" borderId="39" xfId="6" applyNumberFormat="1" applyFont="1" applyBorder="1"/>
    <xf numFmtId="0" fontId="8" fillId="0" borderId="19" xfId="6" applyFont="1" applyBorder="1"/>
    <xf numFmtId="3" fontId="8" fillId="0" borderId="19" xfId="6" applyNumberFormat="1" applyFont="1" applyBorder="1"/>
    <xf numFmtId="165" fontId="8" fillId="0" borderId="4" xfId="6" applyNumberFormat="1" applyFont="1" applyBorder="1"/>
    <xf numFmtId="0" fontId="1" fillId="0" borderId="0" xfId="6" applyFont="1" applyFill="1"/>
    <xf numFmtId="166" fontId="10" fillId="0" borderId="0" xfId="0" applyNumberFormat="1" applyFont="1"/>
    <xf numFmtId="166" fontId="6" fillId="0" borderId="0" xfId="0" applyNumberFormat="1" applyFont="1"/>
    <xf numFmtId="4" fontId="9" fillId="0" borderId="4" xfId="0" applyNumberFormat="1" applyFont="1" applyFill="1" applyBorder="1" applyAlignment="1">
      <alignment horizontal="center"/>
    </xf>
    <xf numFmtId="0" fontId="3" fillId="0" borderId="0" xfId="3" applyFont="1" applyBorder="1" applyAlignment="1">
      <alignment horizontal="left" vertical="justify"/>
    </xf>
    <xf numFmtId="0" fontId="26" fillId="0" borderId="0" xfId="0" applyFont="1" applyAlignment="1">
      <alignment horizontal="center"/>
    </xf>
    <xf numFmtId="0" fontId="9" fillId="0" borderId="6"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2" xfId="0" applyFont="1" applyFill="1" applyBorder="1" applyAlignment="1">
      <alignment horizontal="center" vertical="justify"/>
    </xf>
    <xf numFmtId="0" fontId="9" fillId="0" borderId="23" xfId="0" applyFont="1" applyFill="1" applyBorder="1" applyAlignment="1">
      <alignment horizontal="center" vertical="justify"/>
    </xf>
    <xf numFmtId="0" fontId="9" fillId="0" borderId="7" xfId="0" applyFont="1" applyFill="1" applyBorder="1" applyAlignment="1">
      <alignment horizontal="center" vertical="justify"/>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justify"/>
    </xf>
    <xf numFmtId="0" fontId="9" fillId="0" borderId="30" xfId="0" applyFont="1" applyFill="1" applyBorder="1" applyAlignment="1">
      <alignment horizontal="center" vertical="center"/>
    </xf>
    <xf numFmtId="0" fontId="7" fillId="0" borderId="0" xfId="3" applyFont="1" applyBorder="1" applyAlignment="1">
      <alignment horizontal="justify" vertical="center"/>
    </xf>
    <xf numFmtId="0" fontId="9" fillId="0" borderId="14" xfId="0" applyFont="1" applyFill="1" applyBorder="1" applyAlignment="1">
      <alignment horizontal="center" vertical="justify"/>
    </xf>
    <xf numFmtId="0" fontId="9" fillId="0" borderId="15" xfId="0" applyFont="1" applyFill="1" applyBorder="1" applyAlignment="1">
      <alignment horizontal="center" vertical="justify"/>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2" fillId="0" borderId="36" xfId="6" applyBorder="1" applyAlignment="1">
      <alignment horizontal="center" vertical="center" wrapText="1"/>
    </xf>
    <xf numFmtId="0" fontId="13" fillId="0" borderId="35" xfId="6" applyFont="1" applyFill="1" applyBorder="1" applyAlignment="1">
      <alignment horizontal="center" vertical="center" wrapText="1"/>
    </xf>
    <xf numFmtId="0" fontId="14" fillId="0" borderId="39" xfId="6" applyFont="1" applyBorder="1" applyAlignment="1">
      <alignment horizontal="center" vertical="center" wrapText="1"/>
    </xf>
    <xf numFmtId="0" fontId="13" fillId="0" borderId="39" xfId="6" applyFont="1" applyFill="1" applyBorder="1" applyAlignment="1">
      <alignment horizontal="center" vertical="center" wrapText="1"/>
    </xf>
    <xf numFmtId="2" fontId="13" fillId="0" borderId="31" xfId="6" applyNumberFormat="1" applyFont="1" applyFill="1" applyBorder="1" applyAlignment="1">
      <alignment horizontal="center" vertical="center" wrapText="1"/>
    </xf>
    <xf numFmtId="0" fontId="14" fillId="0" borderId="38" xfId="6" applyFont="1" applyBorder="1" applyAlignment="1">
      <alignment horizontal="center" vertical="center" wrapText="1"/>
    </xf>
    <xf numFmtId="0" fontId="14" fillId="0" borderId="40" xfId="6" applyFont="1" applyBorder="1" applyAlignment="1">
      <alignment horizontal="center" vertical="center" wrapText="1"/>
    </xf>
    <xf numFmtId="0" fontId="14" fillId="0" borderId="41" xfId="6" applyFont="1" applyBorder="1" applyAlignment="1">
      <alignment horizontal="center" vertical="center" wrapText="1"/>
    </xf>
    <xf numFmtId="4" fontId="13" fillId="0" borderId="35" xfId="6" applyNumberFormat="1" applyFont="1" applyFill="1" applyBorder="1" applyAlignment="1">
      <alignment horizontal="center" vertical="center" wrapText="1"/>
    </xf>
    <xf numFmtId="4" fontId="13" fillId="0" borderId="39" xfId="6" applyNumberFormat="1" applyFont="1" applyFill="1" applyBorder="1" applyAlignment="1">
      <alignment horizontal="center" vertical="center" wrapText="1"/>
    </xf>
    <xf numFmtId="0" fontId="12" fillId="0" borderId="0" xfId="6" applyFont="1" applyAlignment="1">
      <alignment horizontal="center"/>
    </xf>
    <xf numFmtId="0" fontId="8" fillId="0" borderId="31" xfId="6" applyFont="1" applyBorder="1" applyAlignment="1">
      <alignment horizontal="center" vertical="center" wrapText="1"/>
    </xf>
    <xf numFmtId="0" fontId="8" fillId="0" borderId="37" xfId="6" applyFont="1" applyBorder="1" applyAlignment="1">
      <alignment horizontal="center" vertical="center" wrapText="1"/>
    </xf>
    <xf numFmtId="0" fontId="8" fillId="0" borderId="32" xfId="6" applyFont="1" applyFill="1" applyBorder="1" applyAlignment="1">
      <alignment horizontal="center" vertical="center" wrapText="1"/>
    </xf>
    <xf numFmtId="0" fontId="8" fillId="0" borderId="33" xfId="6" applyFont="1" applyFill="1" applyBorder="1" applyAlignment="1">
      <alignment horizontal="center" vertical="center" wrapText="1"/>
    </xf>
    <xf numFmtId="0" fontId="8" fillId="0" borderId="34" xfId="6" applyFont="1" applyFill="1" applyBorder="1" applyAlignment="1">
      <alignment horizontal="center" vertical="center" wrapText="1"/>
    </xf>
    <xf numFmtId="0" fontId="8" fillId="0" borderId="32" xfId="6" applyFont="1" applyFill="1" applyBorder="1" applyAlignment="1">
      <alignment horizontal="center" vertical="center"/>
    </xf>
    <xf numFmtId="0" fontId="8" fillId="0" borderId="33" xfId="6" applyFont="1" applyFill="1" applyBorder="1" applyAlignment="1">
      <alignment horizontal="center" vertical="center"/>
    </xf>
    <xf numFmtId="0" fontId="8" fillId="0" borderId="34" xfId="6" applyFont="1" applyFill="1" applyBorder="1" applyAlignment="1">
      <alignment horizontal="center" vertical="center"/>
    </xf>
    <xf numFmtId="0" fontId="17" fillId="0" borderId="0" xfId="6" applyFont="1" applyFill="1" applyAlignment="1">
      <alignment horizontal="left" vertical="center" wrapText="1"/>
    </xf>
    <xf numFmtId="0" fontId="13" fillId="0" borderId="35" xfId="6" applyFont="1" applyFill="1" applyBorder="1" applyAlignment="1">
      <alignment horizontal="center" vertical="center"/>
    </xf>
    <xf numFmtId="0" fontId="13" fillId="0" borderId="39" xfId="6" applyFont="1" applyFill="1" applyBorder="1" applyAlignment="1">
      <alignment horizontal="center" vertical="center"/>
    </xf>
    <xf numFmtId="0" fontId="14" fillId="0" borderId="43" xfId="6" applyFont="1" applyBorder="1" applyAlignment="1">
      <alignment horizontal="center" vertical="center" wrapText="1"/>
    </xf>
    <xf numFmtId="4" fontId="13" fillId="0" borderId="38" xfId="6" applyNumberFormat="1" applyFont="1" applyFill="1" applyBorder="1" applyAlignment="1">
      <alignment horizontal="center" vertical="center" wrapText="1"/>
    </xf>
    <xf numFmtId="0" fontId="14" fillId="0" borderId="42" xfId="6" applyFont="1" applyBorder="1" applyAlignment="1">
      <alignment horizontal="center" vertical="center" wrapText="1"/>
    </xf>
    <xf numFmtId="0" fontId="13" fillId="0" borderId="39" xfId="6" applyFont="1" applyBorder="1" applyAlignment="1">
      <alignment horizontal="center" vertical="center" wrapText="1"/>
    </xf>
    <xf numFmtId="0" fontId="16" fillId="0" borderId="0" xfId="6" applyFont="1" applyFill="1" applyAlignment="1">
      <alignment horizontal="left" vertical="center" wrapText="1"/>
    </xf>
    <xf numFmtId="0" fontId="8" fillId="0" borderId="1" xfId="6" applyFont="1" applyBorder="1" applyAlignment="1">
      <alignment horizontal="center" vertical="center" wrapText="1"/>
    </xf>
    <xf numFmtId="0" fontId="8" fillId="0" borderId="57" xfId="6" applyFont="1" applyBorder="1" applyAlignment="1">
      <alignment horizontal="center" vertical="center" wrapText="1"/>
    </xf>
    <xf numFmtId="0" fontId="8" fillId="0" borderId="28" xfId="6" applyFont="1" applyBorder="1" applyAlignment="1">
      <alignment horizontal="center" vertical="center" wrapText="1"/>
    </xf>
    <xf numFmtId="0" fontId="8" fillId="0" borderId="0" xfId="6" applyFont="1" applyFill="1" applyBorder="1" applyAlignment="1">
      <alignment horizontal="center"/>
    </xf>
    <xf numFmtId="0" fontId="12" fillId="0" borderId="44" xfId="6" applyFont="1" applyFill="1" applyBorder="1" applyAlignment="1">
      <alignment horizontal="center" vertical="center" wrapText="1"/>
    </xf>
    <xf numFmtId="0" fontId="8" fillId="0" borderId="35" xfId="6" applyFont="1" applyFill="1" applyBorder="1" applyAlignment="1">
      <alignment horizontal="center" vertical="center" wrapText="1"/>
    </xf>
    <xf numFmtId="0" fontId="8" fillId="0" borderId="39" xfId="6" applyFont="1" applyFill="1" applyBorder="1" applyAlignment="1">
      <alignment horizontal="center" vertical="center" wrapText="1"/>
    </xf>
    <xf numFmtId="0" fontId="8" fillId="0" borderId="43" xfId="6" applyFont="1" applyFill="1" applyBorder="1" applyAlignment="1">
      <alignment horizontal="center" vertical="center" wrapText="1"/>
    </xf>
    <xf numFmtId="0" fontId="8" fillId="0" borderId="31" xfId="6" applyFont="1" applyFill="1" applyBorder="1" applyAlignment="1">
      <alignment horizontal="center"/>
    </xf>
    <xf numFmtId="0" fontId="8" fillId="0" borderId="38" xfId="6" applyFont="1" applyFill="1" applyBorder="1" applyAlignment="1">
      <alignment horizontal="center"/>
    </xf>
    <xf numFmtId="0" fontId="8" fillId="0" borderId="35" xfId="6" applyFont="1" applyFill="1" applyBorder="1" applyAlignment="1">
      <alignment horizontal="center" wrapText="1"/>
    </xf>
    <xf numFmtId="0" fontId="8" fillId="0" borderId="39" xfId="6" applyFont="1" applyFill="1" applyBorder="1" applyAlignment="1">
      <alignment horizontal="center" wrapText="1"/>
    </xf>
    <xf numFmtId="0" fontId="8" fillId="0" borderId="47" xfId="6" applyFont="1" applyFill="1" applyBorder="1" applyAlignment="1">
      <alignment horizontal="center" wrapText="1"/>
    </xf>
    <xf numFmtId="1" fontId="8" fillId="0" borderId="37" xfId="6" applyNumberFormat="1" applyFont="1" applyFill="1" applyBorder="1" applyAlignment="1">
      <alignment horizontal="center"/>
    </xf>
    <xf numFmtId="1" fontId="8" fillId="0" borderId="42" xfId="6" applyNumberFormat="1" applyFont="1" applyFill="1" applyBorder="1" applyAlignment="1">
      <alignment horizontal="center"/>
    </xf>
    <xf numFmtId="0" fontId="8" fillId="0" borderId="0" xfId="6" applyFont="1" applyBorder="1" applyAlignment="1">
      <alignment horizontal="center" vertical="justify"/>
    </xf>
    <xf numFmtId="0" fontId="8" fillId="0" borderId="35" xfId="6" applyFont="1" applyBorder="1" applyAlignment="1">
      <alignment horizontal="center" vertical="center" wrapText="1"/>
    </xf>
    <xf numFmtId="0" fontId="8" fillId="0" borderId="39" xfId="6" applyFont="1" applyBorder="1" applyAlignment="1">
      <alignment horizontal="center" vertical="center" wrapText="1"/>
    </xf>
    <xf numFmtId="0" fontId="8" fillId="0" borderId="43" xfId="6" applyFont="1" applyBorder="1" applyAlignment="1">
      <alignment horizontal="center" vertical="center" wrapText="1"/>
    </xf>
    <xf numFmtId="0" fontId="2" fillId="0" borderId="39" xfId="6" applyBorder="1" applyAlignment="1">
      <alignment horizontal="center" vertical="center" wrapText="1"/>
    </xf>
    <xf numFmtId="0" fontId="2" fillId="0" borderId="43" xfId="6" applyBorder="1" applyAlignment="1">
      <alignment horizontal="center" vertical="center" wrapText="1"/>
    </xf>
    <xf numFmtId="0" fontId="8" fillId="0" borderId="35" xfId="6" applyFont="1" applyFill="1" applyBorder="1" applyAlignment="1">
      <alignment horizontal="center" vertical="justify"/>
    </xf>
    <xf numFmtId="0" fontId="8" fillId="0" borderId="39" xfId="6" applyFont="1" applyFill="1" applyBorder="1" applyAlignment="1">
      <alignment horizontal="center" vertical="justify"/>
    </xf>
    <xf numFmtId="0" fontId="8" fillId="0" borderId="43" xfId="6" applyFont="1" applyFill="1" applyBorder="1" applyAlignment="1">
      <alignment horizontal="center" vertical="justify"/>
    </xf>
    <xf numFmtId="0" fontId="2" fillId="0" borderId="0" xfId="6" applyAlignment="1">
      <alignment horizontal="right"/>
    </xf>
    <xf numFmtId="0" fontId="9" fillId="0" borderId="0" xfId="6" applyFont="1" applyBorder="1" applyAlignment="1">
      <alignment horizontal="center"/>
    </xf>
    <xf numFmtId="0" fontId="19" fillId="0" borderId="35" xfId="6" applyFont="1" applyFill="1" applyBorder="1" applyAlignment="1">
      <alignment horizontal="center" vertical="center" wrapText="1"/>
    </xf>
    <xf numFmtId="0" fontId="19" fillId="0" borderId="39" xfId="6" applyFont="1" applyFill="1" applyBorder="1" applyAlignment="1">
      <alignment horizontal="center" vertical="center" wrapText="1"/>
    </xf>
    <xf numFmtId="0" fontId="19" fillId="0" borderId="35" xfId="6" applyFont="1" applyFill="1" applyBorder="1" applyAlignment="1">
      <alignment horizontal="center" vertical="justify"/>
    </xf>
    <xf numFmtId="0" fontId="19" fillId="0" borderId="39" xfId="6" applyFont="1" applyFill="1" applyBorder="1" applyAlignment="1">
      <alignment horizontal="center" vertical="justify"/>
    </xf>
    <xf numFmtId="0" fontId="6" fillId="0" borderId="37" xfId="6" applyFont="1" applyFill="1" applyBorder="1" applyAlignment="1">
      <alignment horizontal="left"/>
    </xf>
    <xf numFmtId="0" fontId="6" fillId="0" borderId="0" xfId="6" applyFont="1" applyFill="1" applyBorder="1" applyAlignment="1">
      <alignment horizontal="left"/>
    </xf>
    <xf numFmtId="0" fontId="6" fillId="0" borderId="42" xfId="6" applyFont="1" applyFill="1" applyBorder="1" applyAlignment="1">
      <alignment horizontal="left"/>
    </xf>
    <xf numFmtId="4" fontId="6" fillId="3" borderId="37" xfId="6" applyNumberFormat="1" applyFont="1" applyFill="1" applyBorder="1" applyAlignment="1">
      <alignment horizontal="right"/>
    </xf>
    <xf numFmtId="4" fontId="6" fillId="3" borderId="0" xfId="6" applyNumberFormat="1" applyFont="1" applyFill="1" applyBorder="1" applyAlignment="1">
      <alignment horizontal="right"/>
    </xf>
    <xf numFmtId="0" fontId="8" fillId="0" borderId="0" xfId="6" applyFont="1" applyBorder="1" applyAlignment="1">
      <alignment horizontal="center"/>
    </xf>
    <xf numFmtId="0" fontId="8" fillId="0" borderId="60" xfId="6" applyFont="1" applyBorder="1" applyAlignment="1">
      <alignment horizontal="center" vertical="center"/>
    </xf>
    <xf numFmtId="0" fontId="8" fillId="0" borderId="53" xfId="6" applyFont="1" applyBorder="1" applyAlignment="1">
      <alignment horizontal="center" vertical="center"/>
    </xf>
    <xf numFmtId="0" fontId="8" fillId="0" borderId="48" xfId="6" applyFont="1" applyBorder="1" applyAlignment="1">
      <alignment horizontal="center"/>
    </xf>
    <xf numFmtId="0" fontId="8" fillId="0" borderId="52" xfId="6" applyFont="1" applyBorder="1" applyAlignment="1">
      <alignment horizontal="center"/>
    </xf>
    <xf numFmtId="0" fontId="8" fillId="0" borderId="49" xfId="6" applyFont="1" applyBorder="1" applyAlignment="1">
      <alignment horizontal="center"/>
    </xf>
    <xf numFmtId="0" fontId="8" fillId="3" borderId="32" xfId="6" applyFont="1" applyFill="1" applyBorder="1" applyAlignment="1">
      <alignment horizontal="center"/>
    </xf>
    <xf numFmtId="0" fontId="8" fillId="3" borderId="33" xfId="6" applyFont="1" applyFill="1" applyBorder="1" applyAlignment="1">
      <alignment horizontal="center"/>
    </xf>
    <xf numFmtId="4" fontId="6" fillId="0" borderId="37" xfId="6" applyNumberFormat="1" applyFont="1" applyFill="1" applyBorder="1" applyAlignment="1">
      <alignment horizontal="right"/>
    </xf>
    <xf numFmtId="4" fontId="6" fillId="0" borderId="0" xfId="6" applyNumberFormat="1" applyFont="1" applyFill="1" applyBorder="1" applyAlignment="1">
      <alignment horizontal="right"/>
    </xf>
    <xf numFmtId="0" fontId="6" fillId="0" borderId="37" xfId="6" applyFont="1" applyFill="1" applyBorder="1" applyAlignment="1">
      <alignment horizontal="right"/>
    </xf>
    <xf numFmtId="0" fontId="6" fillId="0" borderId="0" xfId="6" applyFont="1" applyFill="1" applyBorder="1" applyAlignment="1">
      <alignment horizontal="right"/>
    </xf>
    <xf numFmtId="0" fontId="6" fillId="0" borderId="6" xfId="6" applyFont="1" applyFill="1" applyBorder="1" applyAlignment="1">
      <alignment horizontal="left"/>
    </xf>
    <xf numFmtId="0" fontId="6" fillId="0" borderId="7" xfId="6" applyFont="1" applyFill="1" applyBorder="1" applyAlignment="1">
      <alignment horizontal="left"/>
    </xf>
    <xf numFmtId="4" fontId="6" fillId="0" borderId="7" xfId="6" applyNumberFormat="1" applyFont="1" applyFill="1" applyBorder="1" applyAlignment="1">
      <alignment horizontal="right"/>
    </xf>
    <xf numFmtId="4" fontId="6" fillId="0" borderId="8" xfId="6" applyNumberFormat="1" applyFont="1" applyFill="1" applyBorder="1" applyAlignment="1">
      <alignment horizontal="right"/>
    </xf>
    <xf numFmtId="0" fontId="6" fillId="0" borderId="12" xfId="6" applyFont="1" applyFill="1" applyBorder="1" applyAlignment="1">
      <alignment horizontal="left"/>
    </xf>
    <xf numFmtId="0" fontId="6" fillId="0" borderId="2" xfId="6" applyFont="1" applyFill="1" applyBorder="1" applyAlignment="1">
      <alignment horizontal="left"/>
    </xf>
    <xf numFmtId="4" fontId="6" fillId="0" borderId="2" xfId="6" applyNumberFormat="1" applyFont="1" applyFill="1" applyBorder="1" applyAlignment="1">
      <alignment horizontal="right"/>
    </xf>
    <xf numFmtId="4" fontId="6" fillId="0" borderId="13" xfId="6" applyNumberFormat="1" applyFont="1" applyFill="1" applyBorder="1" applyAlignment="1">
      <alignment horizontal="right"/>
    </xf>
    <xf numFmtId="0" fontId="8" fillId="0" borderId="9" xfId="6" applyFont="1" applyFill="1" applyBorder="1" applyAlignment="1">
      <alignment horizontal="left"/>
    </xf>
    <xf numFmtId="0" fontId="8" fillId="0" borderId="10" xfId="6" applyFont="1" applyFill="1" applyBorder="1" applyAlignment="1">
      <alignment horizontal="left"/>
    </xf>
    <xf numFmtId="4" fontId="8" fillId="0" borderId="10" xfId="6" applyNumberFormat="1" applyFont="1" applyFill="1" applyBorder="1" applyAlignment="1">
      <alignment horizontal="right"/>
    </xf>
    <xf numFmtId="0" fontId="8" fillId="0" borderId="11" xfId="6" applyFont="1" applyFill="1" applyBorder="1" applyAlignment="1">
      <alignment horizontal="right"/>
    </xf>
    <xf numFmtId="0" fontId="6" fillId="0" borderId="56" xfId="6" applyFont="1" applyFill="1" applyBorder="1" applyAlignment="1">
      <alignment horizontal="right"/>
    </xf>
    <xf numFmtId="0" fontId="2" fillId="4" borderId="0" xfId="6" applyFill="1" applyAlignment="1">
      <alignment horizontal="center"/>
    </xf>
    <xf numFmtId="9" fontId="6" fillId="0" borderId="2" xfId="6" applyNumberFormat="1" applyFont="1" applyFill="1" applyBorder="1" applyAlignment="1">
      <alignment horizontal="left"/>
    </xf>
    <xf numFmtId="4" fontId="6" fillId="0" borderId="56" xfId="6" applyNumberFormat="1" applyFont="1" applyFill="1" applyBorder="1" applyAlignment="1">
      <alignment horizontal="right"/>
    </xf>
    <xf numFmtId="4" fontId="6" fillId="3" borderId="56" xfId="6" applyNumberFormat="1" applyFont="1" applyFill="1" applyBorder="1" applyAlignment="1">
      <alignment horizontal="right"/>
    </xf>
    <xf numFmtId="0" fontId="6" fillId="3" borderId="0" xfId="6" applyFont="1" applyFill="1" applyBorder="1" applyAlignment="1">
      <alignment horizontal="right"/>
    </xf>
    <xf numFmtId="0" fontId="8" fillId="3" borderId="56" xfId="6" applyFont="1" applyFill="1" applyBorder="1" applyAlignment="1">
      <alignment horizontal="center"/>
    </xf>
    <xf numFmtId="0" fontId="8" fillId="3" borderId="0" xfId="6" applyFont="1" applyFill="1" applyBorder="1" applyAlignment="1">
      <alignment horizontal="center"/>
    </xf>
    <xf numFmtId="0" fontId="8" fillId="0" borderId="56" xfId="6" applyFont="1" applyFill="1" applyBorder="1" applyAlignment="1">
      <alignment horizontal="left"/>
    </xf>
    <xf numFmtId="0" fontId="8" fillId="0" borderId="0" xfId="6" applyFont="1" applyFill="1" applyBorder="1" applyAlignment="1">
      <alignment horizontal="left"/>
    </xf>
    <xf numFmtId="0" fontId="8" fillId="0" borderId="55" xfId="6" applyFont="1" applyFill="1" applyBorder="1" applyAlignment="1">
      <alignment horizontal="left"/>
    </xf>
    <xf numFmtId="0" fontId="8" fillId="0" borderId="25" xfId="6" applyFont="1" applyFill="1" applyBorder="1" applyAlignment="1">
      <alignment horizontal="center"/>
    </xf>
    <xf numFmtId="0" fontId="8" fillId="0" borderId="61" xfId="6" applyFont="1" applyFill="1" applyBorder="1" applyAlignment="1">
      <alignment horizontal="center"/>
    </xf>
    <xf numFmtId="0" fontId="8" fillId="0" borderId="36" xfId="6" applyFont="1" applyFill="1" applyBorder="1" applyAlignment="1">
      <alignment horizontal="center"/>
    </xf>
    <xf numFmtId="0" fontId="8" fillId="0" borderId="25" xfId="6" applyFont="1" applyFill="1" applyBorder="1" applyAlignment="1">
      <alignment horizontal="left"/>
    </xf>
    <xf numFmtId="0" fontId="8" fillId="0" borderId="61" xfId="6" applyFont="1" applyFill="1" applyBorder="1" applyAlignment="1">
      <alignment horizontal="left"/>
    </xf>
    <xf numFmtId="0" fontId="8" fillId="0" borderId="36" xfId="6" applyFont="1" applyFill="1" applyBorder="1" applyAlignment="1">
      <alignment horizontal="left"/>
    </xf>
    <xf numFmtId="0" fontId="8" fillId="0" borderId="25" xfId="6" applyFont="1" applyFill="1" applyBorder="1" applyAlignment="1">
      <alignment horizontal="right"/>
    </xf>
    <xf numFmtId="0" fontId="8" fillId="0" borderId="61" xfId="6" applyFont="1" applyFill="1" applyBorder="1" applyAlignment="1">
      <alignment horizontal="right"/>
    </xf>
    <xf numFmtId="0" fontId="8" fillId="0" borderId="2" xfId="6" applyFont="1" applyFill="1" applyBorder="1" applyAlignment="1">
      <alignment horizontal="center" vertical="center"/>
    </xf>
    <xf numFmtId="0" fontId="8" fillId="0" borderId="0" xfId="6" applyFont="1" applyAlignment="1">
      <alignment horizontal="center"/>
    </xf>
  </cellXfs>
  <cellStyles count="8">
    <cellStyle name="Euro" xfId="2"/>
    <cellStyle name="Euro 2" xfId="4"/>
    <cellStyle name="Euro 3" xfId="5"/>
    <cellStyle name="Moneda 2" xfId="7"/>
    <cellStyle name="Normal" xfId="0" builtinId="0"/>
    <cellStyle name="Normal 2" xfId="3"/>
    <cellStyle name="Normal 3" xfId="1"/>
    <cellStyle name="Normal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0" tint="-0.249977111117893"/>
    <pageSetUpPr fitToPage="1"/>
  </sheetPr>
  <dimension ref="A1:K32"/>
  <sheetViews>
    <sheetView tabSelected="1" zoomScale="98" zoomScaleNormal="98" workbookViewId="0">
      <selection activeCell="A6" sqref="A6"/>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8.88671875" style="1" bestFit="1" customWidth="1"/>
    <col min="6" max="6" width="10.33203125" style="1" bestFit="1" customWidth="1"/>
    <col min="7" max="7" width="8.33203125" style="1" customWidth="1"/>
    <col min="8" max="8" width="10.33203125" style="1" customWidth="1"/>
    <col min="9" max="9" width="8.33203125" style="1" customWidth="1"/>
    <col min="10" max="10" width="10.33203125" style="1" bestFit="1" customWidth="1"/>
    <col min="11" max="11" width="12.109375" style="1" bestFit="1" customWidth="1"/>
    <col min="12" max="16384" width="11.5546875" style="1"/>
  </cols>
  <sheetData>
    <row r="1" spans="1:11" x14ac:dyDescent="0.2">
      <c r="A1" s="315" t="s">
        <v>26</v>
      </c>
      <c r="B1" s="315"/>
      <c r="C1" s="315"/>
      <c r="D1" s="315"/>
      <c r="E1" s="315"/>
      <c r="F1" s="315"/>
      <c r="G1" s="315"/>
      <c r="H1" s="315"/>
      <c r="I1" s="315"/>
      <c r="J1" s="315"/>
      <c r="K1" s="315"/>
    </row>
    <row r="2" spans="1:11" x14ac:dyDescent="0.2">
      <c r="A2" s="315" t="s">
        <v>27</v>
      </c>
      <c r="B2" s="315"/>
      <c r="C2" s="315"/>
      <c r="D2" s="315"/>
      <c r="E2" s="315"/>
      <c r="F2" s="315"/>
      <c r="G2" s="315"/>
      <c r="H2" s="315"/>
      <c r="I2" s="315"/>
      <c r="J2" s="315"/>
      <c r="K2" s="315"/>
    </row>
    <row r="3" spans="1:11" x14ac:dyDescent="0.2">
      <c r="A3" s="315" t="s">
        <v>28</v>
      </c>
      <c r="B3" s="315"/>
      <c r="C3" s="315"/>
      <c r="D3" s="315"/>
      <c r="E3" s="315"/>
      <c r="F3" s="315"/>
      <c r="G3" s="315"/>
      <c r="H3" s="315"/>
      <c r="I3" s="315"/>
      <c r="J3" s="315"/>
      <c r="K3" s="315"/>
    </row>
    <row r="5" spans="1:11" ht="26.25" customHeight="1" x14ac:dyDescent="0.2">
      <c r="A5" s="323" t="s">
        <v>214</v>
      </c>
      <c r="B5" s="323"/>
      <c r="C5" s="323"/>
      <c r="D5" s="323"/>
      <c r="E5" s="323"/>
      <c r="F5" s="323"/>
      <c r="G5" s="323"/>
      <c r="H5" s="323"/>
      <c r="I5" s="323"/>
      <c r="J5" s="323"/>
      <c r="K5" s="323"/>
    </row>
    <row r="6" spans="1:11" ht="15.75" thickBot="1" x14ac:dyDescent="0.3">
      <c r="K6" s="5" t="s">
        <v>33</v>
      </c>
    </row>
    <row r="7" spans="1:11" ht="39.75" customHeight="1" x14ac:dyDescent="0.2">
      <c r="A7" s="316" t="s">
        <v>0</v>
      </c>
      <c r="B7" s="318" t="s">
        <v>23</v>
      </c>
      <c r="C7" s="319"/>
      <c r="D7" s="318" t="s">
        <v>24</v>
      </c>
      <c r="E7" s="319"/>
      <c r="F7" s="320" t="s">
        <v>233</v>
      </c>
      <c r="G7" s="320"/>
      <c r="H7" s="320" t="s">
        <v>234</v>
      </c>
      <c r="I7" s="320"/>
      <c r="J7" s="321" t="s">
        <v>1</v>
      </c>
      <c r="K7" s="322"/>
    </row>
    <row r="8" spans="1:11" ht="28.5" customHeight="1" thickBot="1" x14ac:dyDescent="0.25">
      <c r="A8" s="317"/>
      <c r="B8" s="48" t="s">
        <v>31</v>
      </c>
      <c r="C8" s="48" t="s">
        <v>32</v>
      </c>
      <c r="D8" s="49" t="s">
        <v>31</v>
      </c>
      <c r="E8" s="48" t="s">
        <v>32</v>
      </c>
      <c r="F8" s="48" t="s">
        <v>31</v>
      </c>
      <c r="G8" s="48" t="s">
        <v>32</v>
      </c>
      <c r="H8" s="48" t="s">
        <v>31</v>
      </c>
      <c r="I8" s="48" t="s">
        <v>32</v>
      </c>
      <c r="J8" s="48" t="s">
        <v>31</v>
      </c>
      <c r="K8" s="50" t="s">
        <v>32</v>
      </c>
    </row>
    <row r="9" spans="1:11" x14ac:dyDescent="0.2">
      <c r="A9" s="18" t="s">
        <v>2</v>
      </c>
      <c r="B9" s="19">
        <f>C9/$C$29*100</f>
        <v>3.6024926761915763</v>
      </c>
      <c r="C9" s="20">
        <v>48205185.68</v>
      </c>
      <c r="D9" s="21">
        <f>E9/$E$29*100</f>
        <v>3.3342584972529363</v>
      </c>
      <c r="E9" s="22">
        <v>17374091.16</v>
      </c>
      <c r="F9" s="19">
        <f>G9/$G$29*100</f>
        <v>4.1569358449455844</v>
      </c>
      <c r="G9" s="20">
        <v>1003349.77</v>
      </c>
      <c r="H9" s="19">
        <f>I9/$I$29*100</f>
        <v>2.2005487761824516</v>
      </c>
      <c r="I9" s="20">
        <v>1614410.53</v>
      </c>
      <c r="J9" s="19">
        <f>K9/$K$29*100</f>
        <v>3.4853349991453237</v>
      </c>
      <c r="K9" s="23">
        <f t="shared" ref="K9:K28" si="0">C9+E9+G9+I9</f>
        <v>68197037.140000001</v>
      </c>
    </row>
    <row r="10" spans="1:11" x14ac:dyDescent="0.2">
      <c r="A10" s="24" t="s">
        <v>3</v>
      </c>
      <c r="B10" s="25">
        <f t="shared" ref="B10:B28" si="1">C10/$C$29*100</f>
        <v>2.5653899270072884</v>
      </c>
      <c r="C10" s="26">
        <v>34327647.240000002</v>
      </c>
      <c r="D10" s="27">
        <f t="shared" ref="D10:D28" si="2">E10/$E$29*100</f>
        <v>2.1916956077851748</v>
      </c>
      <c r="E10" s="28">
        <v>11420446.049999999</v>
      </c>
      <c r="F10" s="25">
        <f t="shared" ref="F10:F28" si="3">G10/$G$29*100</f>
        <v>5.6203679298524483</v>
      </c>
      <c r="G10" s="26">
        <v>1356574.9100000001</v>
      </c>
      <c r="H10" s="25">
        <f t="shared" ref="H10:H28" si="4">I10/$I$29*100</f>
        <v>0.86853766052794168</v>
      </c>
      <c r="I10" s="26">
        <v>637193.93999999994</v>
      </c>
      <c r="J10" s="25">
        <f t="shared" ref="J10:J28" si="5">K10/$K$29*100</f>
        <v>2.439935663177303</v>
      </c>
      <c r="K10" s="29">
        <f t="shared" si="0"/>
        <v>47741862.140000001</v>
      </c>
    </row>
    <row r="11" spans="1:11" x14ac:dyDescent="0.2">
      <c r="A11" s="24" t="s">
        <v>4</v>
      </c>
      <c r="B11" s="25">
        <f t="shared" si="1"/>
        <v>2.412586802854582</v>
      </c>
      <c r="C11" s="26">
        <v>32282978.829999994</v>
      </c>
      <c r="D11" s="27">
        <f t="shared" si="2"/>
        <v>2.0478030424267875</v>
      </c>
      <c r="E11" s="28">
        <v>10670653.390000001</v>
      </c>
      <c r="F11" s="25">
        <f t="shared" si="3"/>
        <v>5.8907847164418135</v>
      </c>
      <c r="G11" s="26">
        <v>1421844.77</v>
      </c>
      <c r="H11" s="25">
        <f t="shared" si="4"/>
        <v>0.63402112939113486</v>
      </c>
      <c r="I11" s="26">
        <v>465143.24000000011</v>
      </c>
      <c r="J11" s="25">
        <f t="shared" si="5"/>
        <v>2.2916623599082482</v>
      </c>
      <c r="K11" s="29">
        <f t="shared" si="0"/>
        <v>44840620.230000004</v>
      </c>
    </row>
    <row r="12" spans="1:11" x14ac:dyDescent="0.2">
      <c r="A12" s="24" t="s">
        <v>5</v>
      </c>
      <c r="B12" s="25">
        <f t="shared" si="1"/>
        <v>4.5646171817108803</v>
      </c>
      <c r="C12" s="26">
        <v>61079435.43</v>
      </c>
      <c r="D12" s="27">
        <f t="shared" si="2"/>
        <v>5.857219001197346</v>
      </c>
      <c r="E12" s="28">
        <v>30520686.07</v>
      </c>
      <c r="F12" s="25">
        <f t="shared" si="3"/>
        <v>5.0636274600663205</v>
      </c>
      <c r="G12" s="26">
        <v>1222195.78</v>
      </c>
      <c r="H12" s="25">
        <f t="shared" si="4"/>
        <v>17.017681660618113</v>
      </c>
      <c r="I12" s="26">
        <v>12484851.399999999</v>
      </c>
      <c r="J12" s="25">
        <f t="shared" si="5"/>
        <v>5.3819165179835604</v>
      </c>
      <c r="K12" s="29">
        <f t="shared" si="0"/>
        <v>105307168.68000001</v>
      </c>
    </row>
    <row r="13" spans="1:11" x14ac:dyDescent="0.2">
      <c r="A13" s="24" t="s">
        <v>6</v>
      </c>
      <c r="B13" s="25">
        <f t="shared" si="1"/>
        <v>4.7064159695787398</v>
      </c>
      <c r="C13" s="26">
        <v>62976854.109999999</v>
      </c>
      <c r="D13" s="27">
        <f t="shared" si="2"/>
        <v>4.565182615328057</v>
      </c>
      <c r="E13" s="28">
        <v>23788167.290000003</v>
      </c>
      <c r="F13" s="25">
        <f t="shared" si="3"/>
        <v>3.4649869818647741</v>
      </c>
      <c r="G13" s="26">
        <v>836335.71000000008</v>
      </c>
      <c r="H13" s="25">
        <f t="shared" si="4"/>
        <v>4.4067340637191785</v>
      </c>
      <c r="I13" s="26">
        <v>3232956.23</v>
      </c>
      <c r="J13" s="25">
        <f t="shared" si="5"/>
        <v>4.6422546298795853</v>
      </c>
      <c r="K13" s="29">
        <f t="shared" si="0"/>
        <v>90834313.340000004</v>
      </c>
    </row>
    <row r="14" spans="1:11" x14ac:dyDescent="0.2">
      <c r="A14" s="24" t="s">
        <v>7</v>
      </c>
      <c r="B14" s="25">
        <f t="shared" si="1"/>
        <v>3.4050345334013099</v>
      </c>
      <c r="C14" s="26">
        <v>45562985.600000009</v>
      </c>
      <c r="D14" s="27">
        <f t="shared" si="2"/>
        <v>1.501016617259167</v>
      </c>
      <c r="E14" s="28">
        <v>7821469.0199999996</v>
      </c>
      <c r="F14" s="25">
        <f t="shared" si="3"/>
        <v>8.5869992790387961</v>
      </c>
      <c r="G14" s="26">
        <v>2072623.7000000002</v>
      </c>
      <c r="H14" s="25">
        <f t="shared" si="4"/>
        <v>1.8280936857406318</v>
      </c>
      <c r="I14" s="26">
        <v>1341162.5899999999</v>
      </c>
      <c r="J14" s="25">
        <f t="shared" si="5"/>
        <v>2.9027785551316811</v>
      </c>
      <c r="K14" s="29">
        <f t="shared" si="0"/>
        <v>56798240.910000011</v>
      </c>
    </row>
    <row r="15" spans="1:11" x14ac:dyDescent="0.2">
      <c r="A15" s="24" t="s">
        <v>8</v>
      </c>
      <c r="B15" s="25">
        <f t="shared" si="1"/>
        <v>1.7902541331330779</v>
      </c>
      <c r="C15" s="26">
        <v>23955505.439999998</v>
      </c>
      <c r="D15" s="27">
        <f t="shared" si="2"/>
        <v>1.3489218957979259</v>
      </c>
      <c r="E15" s="28">
        <v>7028936.7199999997</v>
      </c>
      <c r="F15" s="25">
        <f t="shared" si="3"/>
        <v>8.4438375410168547</v>
      </c>
      <c r="G15" s="26">
        <v>2038069.09</v>
      </c>
      <c r="H15" s="25">
        <f t="shared" si="4"/>
        <v>0.62890210620195319</v>
      </c>
      <c r="I15" s="26">
        <v>461387.71999999991</v>
      </c>
      <c r="J15" s="25">
        <f t="shared" si="5"/>
        <v>1.7112562346134068</v>
      </c>
      <c r="K15" s="29">
        <f t="shared" si="0"/>
        <v>33483898.969999995</v>
      </c>
    </row>
    <row r="16" spans="1:11" x14ac:dyDescent="0.2">
      <c r="A16" s="24" t="s">
        <v>9</v>
      </c>
      <c r="B16" s="25">
        <f t="shared" si="1"/>
        <v>3.3360484663650403</v>
      </c>
      <c r="C16" s="26">
        <v>44639878.609999999</v>
      </c>
      <c r="D16" s="27">
        <f t="shared" si="2"/>
        <v>2.9680835220654358</v>
      </c>
      <c r="E16" s="28">
        <v>15466033.520000003</v>
      </c>
      <c r="F16" s="25">
        <f t="shared" si="3"/>
        <v>4.6182350179484981</v>
      </c>
      <c r="G16" s="26">
        <v>1114692.46</v>
      </c>
      <c r="H16" s="25">
        <f t="shared" si="4"/>
        <v>1.6927073456248807</v>
      </c>
      <c r="I16" s="26">
        <v>1241837.7599999998</v>
      </c>
      <c r="J16" s="25">
        <f t="shared" si="5"/>
        <v>3.1922579863350364</v>
      </c>
      <c r="K16" s="29">
        <f t="shared" si="0"/>
        <v>62462442.350000001</v>
      </c>
    </row>
    <row r="17" spans="1:11" x14ac:dyDescent="0.2">
      <c r="A17" s="24" t="s">
        <v>10</v>
      </c>
      <c r="B17" s="25">
        <f t="shared" si="1"/>
        <v>2.895120079498934</v>
      </c>
      <c r="C17" s="26">
        <v>38739787.57</v>
      </c>
      <c r="D17" s="27">
        <f t="shared" si="2"/>
        <v>2.4893277535684626</v>
      </c>
      <c r="E17" s="28">
        <v>12971342.01</v>
      </c>
      <c r="F17" s="25">
        <f t="shared" si="3"/>
        <v>5.0636274600663205</v>
      </c>
      <c r="G17" s="26">
        <v>1222195.78</v>
      </c>
      <c r="H17" s="25">
        <f t="shared" si="4"/>
        <v>0.98623931797102804</v>
      </c>
      <c r="I17" s="26">
        <v>723544.58</v>
      </c>
      <c r="J17" s="25">
        <f t="shared" si="5"/>
        <v>2.7422330146478067</v>
      </c>
      <c r="K17" s="29">
        <f t="shared" si="0"/>
        <v>53656869.939999998</v>
      </c>
    </row>
    <row r="18" spans="1:11" x14ac:dyDescent="0.2">
      <c r="A18" s="24" t="s">
        <v>11</v>
      </c>
      <c r="B18" s="25">
        <f t="shared" si="1"/>
        <v>1.9084721044127058</v>
      </c>
      <c r="C18" s="26">
        <v>25537387.699999996</v>
      </c>
      <c r="D18" s="27">
        <f t="shared" si="2"/>
        <v>1.4162438045996601</v>
      </c>
      <c r="E18" s="28">
        <v>7379736.4500000002</v>
      </c>
      <c r="F18" s="25">
        <f t="shared" si="3"/>
        <v>8.1177467198780473</v>
      </c>
      <c r="G18" s="26">
        <v>1959361.3199999998</v>
      </c>
      <c r="H18" s="25">
        <f t="shared" si="4"/>
        <v>0.72252668113672802</v>
      </c>
      <c r="I18" s="26">
        <v>530074.44999999995</v>
      </c>
      <c r="J18" s="25">
        <f t="shared" si="5"/>
        <v>1.8095173582861031</v>
      </c>
      <c r="K18" s="29">
        <f t="shared" si="0"/>
        <v>35406559.919999994</v>
      </c>
    </row>
    <row r="19" spans="1:11" x14ac:dyDescent="0.2">
      <c r="A19" s="24" t="s">
        <v>12</v>
      </c>
      <c r="B19" s="25">
        <f t="shared" si="1"/>
        <v>2.9625345256439659</v>
      </c>
      <c r="C19" s="26">
        <v>39641864.599999994</v>
      </c>
      <c r="D19" s="27">
        <f t="shared" si="2"/>
        <v>3.1799895048364251</v>
      </c>
      <c r="E19" s="28">
        <v>16570229.210000001</v>
      </c>
      <c r="F19" s="25">
        <f t="shared" si="3"/>
        <v>5.0159068116747143</v>
      </c>
      <c r="G19" s="26">
        <v>1210677.56</v>
      </c>
      <c r="H19" s="25">
        <f t="shared" si="4"/>
        <v>1.9428242264232818</v>
      </c>
      <c r="I19" s="26">
        <v>1425333.5</v>
      </c>
      <c r="J19" s="25">
        <f t="shared" si="5"/>
        <v>3.0075406225600343</v>
      </c>
      <c r="K19" s="29">
        <f t="shared" si="0"/>
        <v>58848104.869999997</v>
      </c>
    </row>
    <row r="20" spans="1:11" x14ac:dyDescent="0.2">
      <c r="A20" s="24" t="s">
        <v>13</v>
      </c>
      <c r="B20" s="25">
        <f t="shared" si="1"/>
        <v>3.1109830596646666</v>
      </c>
      <c r="C20" s="26">
        <v>41628263.960000008</v>
      </c>
      <c r="D20" s="27">
        <f t="shared" si="2"/>
        <v>2.9266928925492568</v>
      </c>
      <c r="E20" s="28">
        <v>15250356.009999996</v>
      </c>
      <c r="F20" s="25">
        <f t="shared" si="3"/>
        <v>4.4353060176927839</v>
      </c>
      <c r="G20" s="26">
        <v>1070539.32</v>
      </c>
      <c r="H20" s="25">
        <f t="shared" si="4"/>
        <v>1.2690413455737057</v>
      </c>
      <c r="I20" s="26">
        <v>931019.45000000007</v>
      </c>
      <c r="J20" s="25">
        <f t="shared" si="5"/>
        <v>3.0091798166710571</v>
      </c>
      <c r="K20" s="29">
        <f t="shared" si="0"/>
        <v>58880178.74000001</v>
      </c>
    </row>
    <row r="21" spans="1:11" x14ac:dyDescent="0.2">
      <c r="A21" s="24" t="s">
        <v>14</v>
      </c>
      <c r="B21" s="25">
        <f t="shared" si="1"/>
        <v>4.4464211937351363</v>
      </c>
      <c r="C21" s="26">
        <v>59497847.329999991</v>
      </c>
      <c r="D21" s="27">
        <f t="shared" si="2"/>
        <v>4.1900330221125595</v>
      </c>
      <c r="E21" s="28">
        <v>21833344.880000003</v>
      </c>
      <c r="F21" s="25">
        <f t="shared" si="3"/>
        <v>3.4411266162383951</v>
      </c>
      <c r="G21" s="26">
        <v>830576.59000000008</v>
      </c>
      <c r="H21" s="25">
        <f t="shared" si="4"/>
        <v>2.3026041758870304</v>
      </c>
      <c r="I21" s="26">
        <v>1689282.4500000002</v>
      </c>
      <c r="J21" s="25">
        <f t="shared" si="5"/>
        <v>4.2853621783715115</v>
      </c>
      <c r="K21" s="29">
        <f t="shared" si="0"/>
        <v>83851051.25</v>
      </c>
    </row>
    <row r="22" spans="1:11" x14ac:dyDescent="0.2">
      <c r="A22" s="24" t="s">
        <v>25</v>
      </c>
      <c r="B22" s="25">
        <f t="shared" si="1"/>
        <v>2.2254061423504932</v>
      </c>
      <c r="C22" s="26">
        <v>29778302.399999995</v>
      </c>
      <c r="D22" s="27">
        <f t="shared" si="2"/>
        <v>2.2401158724552839</v>
      </c>
      <c r="E22" s="28">
        <v>11672753.450000001</v>
      </c>
      <c r="F22" s="25">
        <f t="shared" si="3"/>
        <v>6.3520839308753034</v>
      </c>
      <c r="G22" s="26">
        <v>1533187.4699999997</v>
      </c>
      <c r="H22" s="25">
        <f t="shared" si="4"/>
        <v>0.428147844213214</v>
      </c>
      <c r="I22" s="26">
        <v>314106.36999999994</v>
      </c>
      <c r="J22" s="25">
        <f t="shared" si="5"/>
        <v>2.2128417876863504</v>
      </c>
      <c r="K22" s="29">
        <f t="shared" si="0"/>
        <v>43298349.68999999</v>
      </c>
    </row>
    <row r="23" spans="1:11" x14ac:dyDescent="0.2">
      <c r="A23" s="24" t="s">
        <v>15</v>
      </c>
      <c r="B23" s="25">
        <f t="shared" si="1"/>
        <v>3.0540270941157246</v>
      </c>
      <c r="C23" s="26">
        <v>40866132.530000001</v>
      </c>
      <c r="D23" s="27">
        <f t="shared" si="2"/>
        <v>2.5182437043843584</v>
      </c>
      <c r="E23" s="28">
        <v>13122016.699999999</v>
      </c>
      <c r="F23" s="25">
        <f t="shared" si="3"/>
        <v>5.0636274600663205</v>
      </c>
      <c r="G23" s="26">
        <v>1222195.78</v>
      </c>
      <c r="H23" s="25">
        <f t="shared" si="4"/>
        <v>1.3290015876824512</v>
      </c>
      <c r="I23" s="26">
        <v>975008.67999999993</v>
      </c>
      <c r="J23" s="25">
        <f t="shared" si="5"/>
        <v>2.8714558266382171</v>
      </c>
      <c r="K23" s="29">
        <f t="shared" si="0"/>
        <v>56185353.690000005</v>
      </c>
    </row>
    <row r="24" spans="1:11" x14ac:dyDescent="0.2">
      <c r="A24" s="24" t="s">
        <v>16</v>
      </c>
      <c r="B24" s="25">
        <f t="shared" si="1"/>
        <v>7.890715118111598</v>
      </c>
      <c r="C24" s="26">
        <v>105586165.36</v>
      </c>
      <c r="D24" s="27">
        <f t="shared" si="2"/>
        <v>9.8852942853423684</v>
      </c>
      <c r="E24" s="28">
        <v>51510104.630000003</v>
      </c>
      <c r="F24" s="25">
        <f t="shared" si="3"/>
        <v>2.3753663250577475</v>
      </c>
      <c r="G24" s="26">
        <v>573336.55000000005</v>
      </c>
      <c r="H24" s="25">
        <f t="shared" si="4"/>
        <v>5.5849022657041694</v>
      </c>
      <c r="I24" s="26">
        <v>4097307.51</v>
      </c>
      <c r="J24" s="25">
        <f t="shared" si="5"/>
        <v>8.2673956360415346</v>
      </c>
      <c r="K24" s="29">
        <f t="shared" si="0"/>
        <v>161766914.05000001</v>
      </c>
    </row>
    <row r="25" spans="1:11" x14ac:dyDescent="0.2">
      <c r="A25" s="24" t="s">
        <v>17</v>
      </c>
      <c r="B25" s="25">
        <f t="shared" si="1"/>
        <v>3.5327288907417285</v>
      </c>
      <c r="C25" s="26">
        <v>47271671.989999995</v>
      </c>
      <c r="D25" s="27">
        <f t="shared" si="2"/>
        <v>3.2727312820720873</v>
      </c>
      <c r="E25" s="28">
        <v>17053486.309999999</v>
      </c>
      <c r="F25" s="25">
        <f t="shared" si="3"/>
        <v>4.2682839140444644</v>
      </c>
      <c r="G25" s="26">
        <v>1030225.5900000001</v>
      </c>
      <c r="H25" s="25">
        <f t="shared" si="4"/>
        <v>2.3911458625233295</v>
      </c>
      <c r="I25" s="26">
        <v>1754240.17</v>
      </c>
      <c r="J25" s="25">
        <f t="shared" si="5"/>
        <v>3.4297607539112969</v>
      </c>
      <c r="K25" s="29">
        <f t="shared" si="0"/>
        <v>67109624.060000002</v>
      </c>
    </row>
    <row r="26" spans="1:11" x14ac:dyDescent="0.2">
      <c r="A26" s="24" t="s">
        <v>18</v>
      </c>
      <c r="B26" s="25">
        <f t="shared" si="1"/>
        <v>34.418078100755437</v>
      </c>
      <c r="C26" s="26">
        <v>460550511.75</v>
      </c>
      <c r="D26" s="27">
        <f t="shared" si="2"/>
        <v>37.028633162118446</v>
      </c>
      <c r="E26" s="28">
        <v>192948101.84</v>
      </c>
      <c r="F26" s="25">
        <f t="shared" si="3"/>
        <v>1.3175593786043578</v>
      </c>
      <c r="G26" s="26">
        <v>318016.19</v>
      </c>
      <c r="H26" s="25">
        <f t="shared" si="4"/>
        <v>48.868014267013912</v>
      </c>
      <c r="I26" s="26">
        <v>35851528.340000004</v>
      </c>
      <c r="J26" s="25">
        <f t="shared" si="5"/>
        <v>35.246759538206646</v>
      </c>
      <c r="K26" s="29">
        <f t="shared" si="0"/>
        <v>689668158.12000012</v>
      </c>
    </row>
    <row r="27" spans="1:11" x14ac:dyDescent="0.2">
      <c r="A27" s="24" t="s">
        <v>19</v>
      </c>
      <c r="B27" s="25">
        <f t="shared" si="1"/>
        <v>3.6834301342339693</v>
      </c>
      <c r="C27" s="26">
        <v>49288215</v>
      </c>
      <c r="D27" s="27">
        <f t="shared" si="2"/>
        <v>3.780535515107323</v>
      </c>
      <c r="E27" s="28">
        <v>19699543.009999998</v>
      </c>
      <c r="F27" s="25">
        <f t="shared" si="3"/>
        <v>4.0217274102203246</v>
      </c>
      <c r="G27" s="26">
        <v>970714.83000000007</v>
      </c>
      <c r="H27" s="25">
        <f t="shared" si="4"/>
        <v>1.7179499317034415</v>
      </c>
      <c r="I27" s="26">
        <v>1260356.73</v>
      </c>
      <c r="J27" s="25">
        <f t="shared" si="5"/>
        <v>3.6397692584344861</v>
      </c>
      <c r="K27" s="29">
        <f t="shared" si="0"/>
        <v>71218829.569999993</v>
      </c>
    </row>
    <row r="28" spans="1:11" ht="15" thickBot="1" x14ac:dyDescent="0.25">
      <c r="A28" s="30" t="s">
        <v>20</v>
      </c>
      <c r="B28" s="31">
        <f t="shared" si="1"/>
        <v>3.4892438664931436</v>
      </c>
      <c r="C28" s="32">
        <v>46689796.090000004</v>
      </c>
      <c r="D28" s="33">
        <f t="shared" si="2"/>
        <v>3.2579784017409601</v>
      </c>
      <c r="E28" s="34">
        <v>16976612.279999997</v>
      </c>
      <c r="F28" s="31">
        <f t="shared" si="3"/>
        <v>4.6818631844061303</v>
      </c>
      <c r="G28" s="32">
        <v>1130050.2399999998</v>
      </c>
      <c r="H28" s="31">
        <f t="shared" si="4"/>
        <v>3.1803760661614335</v>
      </c>
      <c r="I28" s="32">
        <v>2333250.9900000002</v>
      </c>
      <c r="J28" s="31">
        <f t="shared" si="5"/>
        <v>3.430787262370822</v>
      </c>
      <c r="K28" s="35">
        <f t="shared" si="0"/>
        <v>67129709.600000009</v>
      </c>
    </row>
    <row r="29" spans="1:11" ht="15" thickBot="1" x14ac:dyDescent="0.25">
      <c r="A29" s="51" t="s">
        <v>1</v>
      </c>
      <c r="B29" s="52">
        <f>SUM(B9:B28)</f>
        <v>100</v>
      </c>
      <c r="C29" s="53">
        <f>SUM(C9:C28)</f>
        <v>1338106417.22</v>
      </c>
      <c r="D29" s="52">
        <f>SUM(D9:D28)</f>
        <v>100.00000000000001</v>
      </c>
      <c r="E29" s="53">
        <f t="shared" ref="E29:I29" si="6">SUM(E9:E28)</f>
        <v>521078109.99999988</v>
      </c>
      <c r="F29" s="52">
        <f t="shared" si="6"/>
        <v>99.999999999999972</v>
      </c>
      <c r="G29" s="53">
        <f t="shared" si="6"/>
        <v>24136763.41</v>
      </c>
      <c r="H29" s="52">
        <f t="shared" si="6"/>
        <v>100</v>
      </c>
      <c r="I29" s="53">
        <f t="shared" si="6"/>
        <v>73363996.629999995</v>
      </c>
      <c r="J29" s="52">
        <f>SUM(J9:J28)</f>
        <v>100.00000000000001</v>
      </c>
      <c r="K29" s="54">
        <f>SUM(K9:K28)</f>
        <v>1956685287.26</v>
      </c>
    </row>
    <row r="30" spans="1:11" x14ac:dyDescent="0.2">
      <c r="A30" s="38" t="s">
        <v>36</v>
      </c>
      <c r="B30" s="36"/>
      <c r="C30" s="37"/>
      <c r="D30" s="36"/>
      <c r="E30" s="37"/>
      <c r="F30" s="36"/>
      <c r="G30" s="37"/>
      <c r="H30" s="37"/>
      <c r="I30" s="37"/>
      <c r="J30" s="36"/>
      <c r="K30" s="36"/>
    </row>
    <row r="31" spans="1:11" x14ac:dyDescent="0.2">
      <c r="A31" s="38"/>
      <c r="B31" s="36"/>
      <c r="C31" s="37"/>
      <c r="D31" s="36"/>
      <c r="E31" s="37"/>
      <c r="F31" s="36"/>
      <c r="G31" s="37"/>
      <c r="H31" s="37"/>
      <c r="I31" s="37"/>
      <c r="J31" s="36"/>
      <c r="K31" s="36"/>
    </row>
    <row r="32" spans="1:11" ht="29.25" customHeight="1" x14ac:dyDescent="0.2">
      <c r="A32" s="314" t="s">
        <v>235</v>
      </c>
      <c r="B32" s="314"/>
      <c r="C32" s="314"/>
      <c r="D32" s="314"/>
      <c r="E32" s="314"/>
      <c r="F32" s="314"/>
      <c r="G32" s="314"/>
      <c r="H32" s="314"/>
      <c r="I32" s="314"/>
      <c r="J32" s="314"/>
      <c r="K32" s="314"/>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rintOptions horizontalCentered="1"/>
  <pageMargins left="0.11811023622047245" right="0.39370078740157483" top="0.35433070866141736" bottom="0.39370078740157483" header="0.31496062992125984" footer="0.31496062992125984"/>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0" tint="-0.249977111117893"/>
    <pageSetUpPr fitToPage="1"/>
  </sheetPr>
  <dimension ref="A1:K36"/>
  <sheetViews>
    <sheetView zoomScaleNormal="100" workbookViewId="0">
      <selection activeCell="A5" sqref="A5:K6"/>
    </sheetView>
  </sheetViews>
  <sheetFormatPr baseColWidth="10" defaultRowHeight="14.25" x14ac:dyDescent="0.2"/>
  <cols>
    <col min="1" max="1" width="19.44140625" style="1" customWidth="1"/>
    <col min="2" max="2" width="10.33203125" style="1" bestFit="1" customWidth="1"/>
    <col min="3" max="3" width="10.5546875" style="1" customWidth="1"/>
    <col min="4" max="4" width="10.44140625" style="1" customWidth="1"/>
    <col min="5" max="5" width="10.88671875" style="1" customWidth="1"/>
    <col min="6" max="6" width="10.33203125" style="1" bestFit="1" customWidth="1"/>
    <col min="7" max="7" width="9.33203125" style="1" customWidth="1"/>
    <col min="8" max="8" width="10.33203125" style="1" bestFit="1" customWidth="1"/>
    <col min="9" max="9" width="11.21875" style="1" customWidth="1"/>
    <col min="10" max="10" width="10.5546875" style="1" customWidth="1"/>
    <col min="11" max="11" width="10.6640625" style="1" customWidth="1"/>
    <col min="12" max="16384" width="11.5546875" style="1"/>
  </cols>
  <sheetData>
    <row r="1" spans="1:11" x14ac:dyDescent="0.2">
      <c r="A1" s="315" t="s">
        <v>26</v>
      </c>
      <c r="B1" s="315"/>
      <c r="C1" s="315"/>
      <c r="D1" s="315"/>
      <c r="E1" s="315"/>
      <c r="F1" s="315"/>
      <c r="G1" s="315"/>
      <c r="H1" s="315"/>
      <c r="I1" s="315"/>
      <c r="J1" s="315"/>
      <c r="K1" s="315"/>
    </row>
    <row r="2" spans="1:11" x14ac:dyDescent="0.2">
      <c r="A2" s="315" t="s">
        <v>27</v>
      </c>
      <c r="B2" s="315"/>
      <c r="C2" s="315"/>
      <c r="D2" s="315"/>
      <c r="E2" s="315"/>
      <c r="F2" s="315"/>
      <c r="G2" s="315"/>
      <c r="H2" s="315"/>
      <c r="I2" s="315"/>
      <c r="J2" s="315"/>
      <c r="K2" s="315"/>
    </row>
    <row r="3" spans="1:11" x14ac:dyDescent="0.2">
      <c r="A3" s="315" t="s">
        <v>28</v>
      </c>
      <c r="B3" s="315"/>
      <c r="C3" s="315"/>
      <c r="D3" s="315"/>
      <c r="E3" s="315"/>
      <c r="F3" s="315"/>
      <c r="G3" s="315"/>
      <c r="H3" s="315"/>
      <c r="I3" s="315"/>
      <c r="J3" s="315"/>
      <c r="K3" s="315"/>
    </row>
    <row r="4" spans="1:11" x14ac:dyDescent="0.2">
      <c r="A4" s="36"/>
      <c r="B4" s="36"/>
      <c r="C4" s="36"/>
      <c r="D4" s="36"/>
      <c r="E4" s="36"/>
      <c r="F4" s="36"/>
      <c r="G4" s="36"/>
      <c r="H4" s="36"/>
      <c r="I4" s="36"/>
      <c r="J4" s="36"/>
      <c r="K4" s="36"/>
    </row>
    <row r="5" spans="1:11" ht="15" customHeight="1" x14ac:dyDescent="0.2">
      <c r="A5" s="323" t="s">
        <v>215</v>
      </c>
      <c r="B5" s="323"/>
      <c r="C5" s="323"/>
      <c r="D5" s="323"/>
      <c r="E5" s="323"/>
      <c r="F5" s="323"/>
      <c r="G5" s="323"/>
      <c r="H5" s="323"/>
      <c r="I5" s="323"/>
      <c r="J5" s="323"/>
      <c r="K5" s="323"/>
    </row>
    <row r="6" spans="1:11" ht="15" customHeight="1" x14ac:dyDescent="0.2">
      <c r="A6" s="323"/>
      <c r="B6" s="323"/>
      <c r="C6" s="323"/>
      <c r="D6" s="323"/>
      <c r="E6" s="323"/>
      <c r="F6" s="323"/>
      <c r="G6" s="323"/>
      <c r="H6" s="323"/>
      <c r="I6" s="323"/>
      <c r="J6" s="323"/>
      <c r="K6" s="323"/>
    </row>
    <row r="7" spans="1:11" ht="15" thickBot="1" x14ac:dyDescent="0.25">
      <c r="A7" s="36"/>
      <c r="B7" s="36"/>
      <c r="C7" s="36"/>
      <c r="D7" s="36"/>
      <c r="E7" s="36"/>
      <c r="F7" s="36"/>
      <c r="G7" s="36"/>
      <c r="H7" s="36"/>
      <c r="I7" s="36"/>
      <c r="J7" s="36"/>
      <c r="K7" s="39" t="s">
        <v>34</v>
      </c>
    </row>
    <row r="8" spans="1:11" ht="39.75" customHeight="1" x14ac:dyDescent="0.2">
      <c r="A8" s="316" t="s">
        <v>0</v>
      </c>
      <c r="B8" s="320" t="s">
        <v>30</v>
      </c>
      <c r="C8" s="320"/>
      <c r="D8" s="320" t="s">
        <v>24</v>
      </c>
      <c r="E8" s="320"/>
      <c r="F8" s="320" t="s">
        <v>233</v>
      </c>
      <c r="G8" s="320"/>
      <c r="H8" s="320" t="s">
        <v>234</v>
      </c>
      <c r="I8" s="320"/>
      <c r="J8" s="321" t="s">
        <v>1</v>
      </c>
      <c r="K8" s="322"/>
    </row>
    <row r="9" spans="1:11" ht="28.5" customHeight="1" thickBot="1" x14ac:dyDescent="0.25">
      <c r="A9" s="325"/>
      <c r="B9" s="55" t="s">
        <v>31</v>
      </c>
      <c r="C9" s="55" t="s">
        <v>32</v>
      </c>
      <c r="D9" s="56" t="s">
        <v>31</v>
      </c>
      <c r="E9" s="55" t="s">
        <v>32</v>
      </c>
      <c r="F9" s="55" t="s">
        <v>31</v>
      </c>
      <c r="G9" s="55" t="s">
        <v>32</v>
      </c>
      <c r="H9" s="55" t="s">
        <v>31</v>
      </c>
      <c r="I9" s="55" t="s">
        <v>32</v>
      </c>
      <c r="J9" s="55" t="s">
        <v>31</v>
      </c>
      <c r="K9" s="57" t="s">
        <v>32</v>
      </c>
    </row>
    <row r="10" spans="1:11" x14ac:dyDescent="0.2">
      <c r="A10" s="42" t="s">
        <v>2</v>
      </c>
      <c r="B10" s="43">
        <f>C10/$C$30*100</f>
        <v>3.6024862427037361</v>
      </c>
      <c r="C10" s="44">
        <v>48211659.410000004</v>
      </c>
      <c r="D10" s="45">
        <f>E10/$E$30*100</f>
        <v>3.3341211863176823</v>
      </c>
      <c r="E10" s="46">
        <v>17376171.090000004</v>
      </c>
      <c r="F10" s="43">
        <f>G10/$G$30*100</f>
        <v>4.3017140331251733</v>
      </c>
      <c r="G10" s="44">
        <v>1253567.95</v>
      </c>
      <c r="H10" s="47">
        <f>I10/$I$30*100</f>
        <v>2.2032855286076036</v>
      </c>
      <c r="I10" s="44">
        <v>1614084.45</v>
      </c>
      <c r="J10" s="43">
        <f>K10/$K$30*100</f>
        <v>3.4893337829045619</v>
      </c>
      <c r="K10" s="40">
        <f t="shared" ref="K10:K29" si="0">C10+E10+G10+I10</f>
        <v>68455482.900000006</v>
      </c>
    </row>
    <row r="11" spans="1:11" x14ac:dyDescent="0.2">
      <c r="A11" s="24" t="s">
        <v>3</v>
      </c>
      <c r="B11" s="43">
        <f t="shared" ref="B11:B29" si="1">C11/$C$30*100</f>
        <v>2.5654249796940984</v>
      </c>
      <c r="C11" s="44">
        <v>34332787.699999996</v>
      </c>
      <c r="D11" s="45">
        <f t="shared" ref="D11:D29" si="2">E11/$E$30*100</f>
        <v>2.1915144791853214</v>
      </c>
      <c r="E11" s="28">
        <v>11421339.659999998</v>
      </c>
      <c r="F11" s="43">
        <f t="shared" ref="F11:F29" si="3">G11/$G$30*100</f>
        <v>5.5138330423823927</v>
      </c>
      <c r="G11" s="26">
        <v>1606793.09</v>
      </c>
      <c r="H11" s="47">
        <f t="shared" ref="H11:H29" si="4">I11/$I$30*100</f>
        <v>0.86971106652600083</v>
      </c>
      <c r="I11" s="44">
        <v>637133.53999999992</v>
      </c>
      <c r="J11" s="25">
        <f t="shared" ref="J11:J29" si="5">K11/$K$30*100</f>
        <v>2.4465714681414377</v>
      </c>
      <c r="K11" s="29">
        <f t="shared" si="0"/>
        <v>47998053.989999995</v>
      </c>
    </row>
    <row r="12" spans="1:11" x14ac:dyDescent="0.2">
      <c r="A12" s="24" t="s">
        <v>4</v>
      </c>
      <c r="B12" s="43">
        <f t="shared" si="1"/>
        <v>2.4126171511236123</v>
      </c>
      <c r="C12" s="44">
        <v>32287778.089999996</v>
      </c>
      <c r="D12" s="45">
        <f t="shared" si="2"/>
        <v>2.0476115454268395</v>
      </c>
      <c r="E12" s="28">
        <v>10671372.32</v>
      </c>
      <c r="F12" s="43">
        <f t="shared" si="3"/>
        <v>5.7378115452645977</v>
      </c>
      <c r="G12" s="26">
        <v>1672062.95</v>
      </c>
      <c r="H12" s="47">
        <f t="shared" si="4"/>
        <v>0.6348820701893193</v>
      </c>
      <c r="I12" s="44">
        <v>465102.35000000009</v>
      </c>
      <c r="J12" s="25">
        <f t="shared" si="5"/>
        <v>2.2986631782482498</v>
      </c>
      <c r="K12" s="29">
        <f t="shared" si="0"/>
        <v>45096315.710000001</v>
      </c>
    </row>
    <row r="13" spans="1:11" x14ac:dyDescent="0.2">
      <c r="A13" s="24" t="s">
        <v>5</v>
      </c>
      <c r="B13" s="43">
        <f t="shared" si="1"/>
        <v>4.5652619511702808</v>
      </c>
      <c r="C13" s="44">
        <v>61096376.079999998</v>
      </c>
      <c r="D13" s="45">
        <f t="shared" si="2"/>
        <v>5.8605423005619901</v>
      </c>
      <c r="E13" s="28">
        <v>30542916.710000001</v>
      </c>
      <c r="F13" s="43">
        <f t="shared" si="3"/>
        <v>5.0527008083617702</v>
      </c>
      <c r="G13" s="26">
        <v>1472413.96</v>
      </c>
      <c r="H13" s="47">
        <f t="shared" si="4"/>
        <v>17.002203385108078</v>
      </c>
      <c r="I13" s="44">
        <v>12455486.019999998</v>
      </c>
      <c r="J13" s="25">
        <f t="shared" si="5"/>
        <v>5.3810031935186178</v>
      </c>
      <c r="K13" s="29">
        <f t="shared" si="0"/>
        <v>105567192.76999998</v>
      </c>
    </row>
    <row r="14" spans="1:11" x14ac:dyDescent="0.2">
      <c r="A14" s="24" t="s">
        <v>6</v>
      </c>
      <c r="B14" s="43">
        <f t="shared" si="1"/>
        <v>4.7064403755428019</v>
      </c>
      <c r="C14" s="44">
        <v>62985750.709999993</v>
      </c>
      <c r="D14" s="45">
        <f t="shared" si="2"/>
        <v>4.5653123914822702</v>
      </c>
      <c r="E14" s="28">
        <v>23792671.220000003</v>
      </c>
      <c r="F14" s="43">
        <f t="shared" si="3"/>
        <v>3.7285925476634478</v>
      </c>
      <c r="G14" s="26">
        <v>1086553.8900000001</v>
      </c>
      <c r="H14" s="47">
        <f t="shared" si="4"/>
        <v>4.4109318737226486</v>
      </c>
      <c r="I14" s="44">
        <v>3231363.55</v>
      </c>
      <c r="J14" s="25">
        <f t="shared" si="5"/>
        <v>4.6433904341456316</v>
      </c>
      <c r="K14" s="29">
        <f t="shared" si="0"/>
        <v>91096339.36999999</v>
      </c>
    </row>
    <row r="15" spans="1:11" x14ac:dyDescent="0.2">
      <c r="A15" s="24" t="s">
        <v>7</v>
      </c>
      <c r="B15" s="43">
        <f t="shared" si="1"/>
        <v>3.4057345764464717</v>
      </c>
      <c r="C15" s="44">
        <v>45578554.470000006</v>
      </c>
      <c r="D15" s="45">
        <f t="shared" si="2"/>
        <v>1.5010690410088319</v>
      </c>
      <c r="E15" s="28">
        <v>7823000.7299999995</v>
      </c>
      <c r="F15" s="43">
        <f t="shared" si="3"/>
        <v>7.9710090800637161</v>
      </c>
      <c r="G15" s="26">
        <v>2322841.88</v>
      </c>
      <c r="H15" s="47">
        <f t="shared" si="4"/>
        <v>1.8307217812694052</v>
      </c>
      <c r="I15" s="44">
        <v>1341151.44</v>
      </c>
      <c r="J15" s="25">
        <f t="shared" si="5"/>
        <v>2.9087625688316554</v>
      </c>
      <c r="K15" s="29">
        <f t="shared" si="0"/>
        <v>57065548.520000003</v>
      </c>
    </row>
    <row r="16" spans="1:11" x14ac:dyDescent="0.2">
      <c r="A16" s="24" t="s">
        <v>8</v>
      </c>
      <c r="B16" s="43">
        <f t="shared" si="1"/>
        <v>1.7903497688301078</v>
      </c>
      <c r="C16" s="44">
        <v>23960045.219999995</v>
      </c>
      <c r="D16" s="45">
        <f t="shared" si="2"/>
        <v>1.3487917411346411</v>
      </c>
      <c r="E16" s="28">
        <v>7029389.3799999999</v>
      </c>
      <c r="F16" s="43">
        <f t="shared" si="3"/>
        <v>7.8524323002839154</v>
      </c>
      <c r="G16" s="26">
        <v>2288287.27</v>
      </c>
      <c r="H16" s="47">
        <f t="shared" si="4"/>
        <v>0.62981047874395679</v>
      </c>
      <c r="I16" s="44">
        <v>461386.99999999994</v>
      </c>
      <c r="J16" s="25">
        <f t="shared" si="5"/>
        <v>1.719760162340275</v>
      </c>
      <c r="K16" s="29">
        <f t="shared" si="0"/>
        <v>33739108.86999999</v>
      </c>
    </row>
    <row r="17" spans="1:11" x14ac:dyDescent="0.2">
      <c r="A17" s="24" t="s">
        <v>9</v>
      </c>
      <c r="B17" s="43">
        <f t="shared" si="1"/>
        <v>3.3361131589410107</v>
      </c>
      <c r="C17" s="44">
        <v>44646819.039999999</v>
      </c>
      <c r="D17" s="45">
        <f t="shared" si="2"/>
        <v>2.9680240050063675</v>
      </c>
      <c r="E17" s="28">
        <v>15468211.870000003</v>
      </c>
      <c r="F17" s="43">
        <f t="shared" si="3"/>
        <v>4.6837949662400522</v>
      </c>
      <c r="G17" s="26">
        <v>1364910.6400000001</v>
      </c>
      <c r="H17" s="47">
        <f t="shared" si="4"/>
        <v>1.6946281190975707</v>
      </c>
      <c r="I17" s="44">
        <v>1241451.8499999999</v>
      </c>
      <c r="J17" s="25">
        <f t="shared" si="5"/>
        <v>3.1970540215335657</v>
      </c>
      <c r="K17" s="29">
        <f t="shared" si="0"/>
        <v>62721393.400000006</v>
      </c>
    </row>
    <row r="18" spans="1:11" x14ac:dyDescent="0.2">
      <c r="A18" s="24" t="s">
        <v>10</v>
      </c>
      <c r="B18" s="43">
        <f t="shared" si="1"/>
        <v>2.8951513586956015</v>
      </c>
      <c r="C18" s="44">
        <v>38745477.939999998</v>
      </c>
      <c r="D18" s="45">
        <f t="shared" si="2"/>
        <v>2.489117433712587</v>
      </c>
      <c r="E18" s="28">
        <v>12972333.029999999</v>
      </c>
      <c r="F18" s="43">
        <f t="shared" si="3"/>
        <v>5.0527008083617702</v>
      </c>
      <c r="G18" s="26">
        <v>1472413.96</v>
      </c>
      <c r="H18" s="47">
        <f t="shared" si="4"/>
        <v>0.98756810297165853</v>
      </c>
      <c r="I18" s="44">
        <v>723473.33</v>
      </c>
      <c r="J18" s="25">
        <f t="shared" si="5"/>
        <v>2.7481054947015924</v>
      </c>
      <c r="K18" s="29">
        <f t="shared" si="0"/>
        <v>53913698.259999998</v>
      </c>
    </row>
    <row r="19" spans="1:11" x14ac:dyDescent="0.2">
      <c r="A19" s="24" t="s">
        <v>11</v>
      </c>
      <c r="B19" s="43">
        <f t="shared" si="1"/>
        <v>1.9085854586557121</v>
      </c>
      <c r="C19" s="44">
        <v>25542379.869999997</v>
      </c>
      <c r="D19" s="45">
        <f t="shared" si="2"/>
        <v>1.4161228246836353</v>
      </c>
      <c r="E19" s="28">
        <v>7380293.3700000001</v>
      </c>
      <c r="F19" s="43">
        <f t="shared" si="3"/>
        <v>7.582340584294375</v>
      </c>
      <c r="G19" s="26">
        <v>2209579.5</v>
      </c>
      <c r="H19" s="47">
        <f t="shared" si="4"/>
        <v>0.72356038261973432</v>
      </c>
      <c r="I19" s="44">
        <v>530066.37</v>
      </c>
      <c r="J19" s="25">
        <f t="shared" si="5"/>
        <v>1.817790622104368</v>
      </c>
      <c r="K19" s="29">
        <f t="shared" si="0"/>
        <v>35662319.109999992</v>
      </c>
    </row>
    <row r="20" spans="1:11" x14ac:dyDescent="0.2">
      <c r="A20" s="24" t="s">
        <v>12</v>
      </c>
      <c r="B20" s="43">
        <f t="shared" si="1"/>
        <v>2.9625795533039518</v>
      </c>
      <c r="C20" s="44">
        <v>39647861.719999999</v>
      </c>
      <c r="D20" s="45">
        <f t="shared" si="2"/>
        <v>3.1797363246890744</v>
      </c>
      <c r="E20" s="28">
        <v>16571575.930000002</v>
      </c>
      <c r="F20" s="43">
        <f t="shared" si="3"/>
        <v>5.0131751579088979</v>
      </c>
      <c r="G20" s="26">
        <v>1460895.74</v>
      </c>
      <c r="H20" s="47">
        <f t="shared" si="4"/>
        <v>1.9455566796671337</v>
      </c>
      <c r="I20" s="44">
        <v>1425277.27</v>
      </c>
      <c r="J20" s="25">
        <f t="shared" si="5"/>
        <v>3.0127492393329098</v>
      </c>
      <c r="K20" s="29">
        <f t="shared" si="0"/>
        <v>59105610.660000004</v>
      </c>
    </row>
    <row r="21" spans="1:11" x14ac:dyDescent="0.2">
      <c r="A21" s="24" t="s">
        <v>13</v>
      </c>
      <c r="B21" s="43">
        <f t="shared" si="1"/>
        <v>3.110902577617785</v>
      </c>
      <c r="C21" s="44">
        <v>41632851.710000008</v>
      </c>
      <c r="D21" s="45">
        <f t="shared" si="2"/>
        <v>2.9264192123403139</v>
      </c>
      <c r="E21" s="28">
        <v>15251383.519999998</v>
      </c>
      <c r="F21" s="43">
        <f t="shared" si="3"/>
        <v>4.5322800986618406</v>
      </c>
      <c r="G21" s="26">
        <v>1320757.5</v>
      </c>
      <c r="H21" s="47">
        <f t="shared" si="4"/>
        <v>1.2708179901487981</v>
      </c>
      <c r="I21" s="44">
        <v>930976.7300000001</v>
      </c>
      <c r="J21" s="25">
        <f t="shared" si="5"/>
        <v>3.0142966973590721</v>
      </c>
      <c r="K21" s="29">
        <f t="shared" si="0"/>
        <v>59135969.460000001</v>
      </c>
    </row>
    <row r="22" spans="1:11" x14ac:dyDescent="0.2">
      <c r="A22" s="24" t="s">
        <v>14</v>
      </c>
      <c r="B22" s="43">
        <f t="shared" si="1"/>
        <v>4.4463316861510407</v>
      </c>
      <c r="C22" s="44">
        <v>59504746.00999999</v>
      </c>
      <c r="D22" s="45">
        <f t="shared" si="2"/>
        <v>4.1897189720601116</v>
      </c>
      <c r="E22" s="28">
        <v>21835221.220000003</v>
      </c>
      <c r="F22" s="43">
        <f t="shared" si="3"/>
        <v>3.708829688121249</v>
      </c>
      <c r="G22" s="26">
        <v>1080794.77</v>
      </c>
      <c r="H22" s="47">
        <f t="shared" si="4"/>
        <v>2.3057146674387852</v>
      </c>
      <c r="I22" s="44">
        <v>1689122.0600000003</v>
      </c>
      <c r="J22" s="25">
        <f t="shared" si="5"/>
        <v>4.2872747001941587</v>
      </c>
      <c r="K22" s="29">
        <f t="shared" si="0"/>
        <v>84109884.059999987</v>
      </c>
    </row>
    <row r="23" spans="1:11" x14ac:dyDescent="0.2">
      <c r="A23" s="24" t="s">
        <v>25</v>
      </c>
      <c r="B23" s="43">
        <f t="shared" si="1"/>
        <v>2.225441201102158</v>
      </c>
      <c r="C23" s="44">
        <v>29782823.859999996</v>
      </c>
      <c r="D23" s="45">
        <f t="shared" si="2"/>
        <v>2.2398250031118447</v>
      </c>
      <c r="E23" s="28">
        <v>11673115.73</v>
      </c>
      <c r="F23" s="43">
        <f t="shared" si="3"/>
        <v>6.1198925126952384</v>
      </c>
      <c r="G23" s="26">
        <v>1783405.6499999997</v>
      </c>
      <c r="H23" s="47">
        <f t="shared" si="4"/>
        <v>0.42875553634331631</v>
      </c>
      <c r="I23" s="44">
        <v>314098.02999999991</v>
      </c>
      <c r="J23" s="25">
        <f t="shared" si="5"/>
        <v>2.2200194129932624</v>
      </c>
      <c r="K23" s="29">
        <f t="shared" si="0"/>
        <v>43553443.269999996</v>
      </c>
    </row>
    <row r="24" spans="1:11" x14ac:dyDescent="0.2">
      <c r="A24" s="24" t="s">
        <v>15</v>
      </c>
      <c r="B24" s="43">
        <f t="shared" si="1"/>
        <v>3.0541167668515392</v>
      </c>
      <c r="C24" s="44">
        <v>40872893.729999997</v>
      </c>
      <c r="D24" s="45">
        <f t="shared" si="2"/>
        <v>2.5180637236578933</v>
      </c>
      <c r="E24" s="28">
        <v>13123190.08</v>
      </c>
      <c r="F24" s="43">
        <f t="shared" si="3"/>
        <v>5.0527008083617702</v>
      </c>
      <c r="G24" s="26">
        <v>1472413.96</v>
      </c>
      <c r="H24" s="47">
        <f t="shared" si="4"/>
        <v>1.3307971980803668</v>
      </c>
      <c r="I24" s="44">
        <v>974916.34</v>
      </c>
      <c r="J24" s="25">
        <f t="shared" si="5"/>
        <v>2.8770509436650986</v>
      </c>
      <c r="K24" s="29">
        <f t="shared" si="0"/>
        <v>56443414.109999999</v>
      </c>
    </row>
    <row r="25" spans="1:11" x14ac:dyDescent="0.2">
      <c r="A25" s="24" t="s">
        <v>16</v>
      </c>
      <c r="B25" s="43">
        <f t="shared" si="1"/>
        <v>7.8905500190289839</v>
      </c>
      <c r="C25" s="44">
        <v>105598324.17</v>
      </c>
      <c r="D25" s="45">
        <f t="shared" si="2"/>
        <v>9.8846005187949704</v>
      </c>
      <c r="E25" s="28">
        <v>51514777.110000007</v>
      </c>
      <c r="F25" s="43">
        <f t="shared" si="3"/>
        <v>2.8260908705328758</v>
      </c>
      <c r="G25" s="26">
        <v>823554.73</v>
      </c>
      <c r="H25" s="47">
        <f t="shared" si="4"/>
        <v>5.5911238342758312</v>
      </c>
      <c r="I25" s="44">
        <v>4095949.4</v>
      </c>
      <c r="J25" s="25">
        <f t="shared" si="5"/>
        <v>8.2591754529739418</v>
      </c>
      <c r="K25" s="29">
        <f t="shared" si="0"/>
        <v>162032605.41</v>
      </c>
    </row>
    <row r="26" spans="1:11" x14ac:dyDescent="0.2">
      <c r="A26" s="24" t="s">
        <v>17</v>
      </c>
      <c r="B26" s="43">
        <f t="shared" si="1"/>
        <v>3.5327409176858557</v>
      </c>
      <c r="C26" s="44">
        <v>47278265.739999995</v>
      </c>
      <c r="D26" s="45">
        <f t="shared" si="2"/>
        <v>3.2726499338296864</v>
      </c>
      <c r="E26" s="28">
        <v>17055806.309999999</v>
      </c>
      <c r="F26" s="43">
        <f t="shared" si="3"/>
        <v>4.3939404593398397</v>
      </c>
      <c r="G26" s="26">
        <v>1280443.77</v>
      </c>
      <c r="H26" s="47">
        <f t="shared" si="4"/>
        <v>2.394032541762118</v>
      </c>
      <c r="I26" s="44">
        <v>1753822.03</v>
      </c>
      <c r="J26" s="25">
        <f t="shared" si="5"/>
        <v>3.4339194933665871</v>
      </c>
      <c r="K26" s="29">
        <f t="shared" si="0"/>
        <v>67368337.849999994</v>
      </c>
    </row>
    <row r="27" spans="1:11" x14ac:dyDescent="0.2">
      <c r="A27" s="24" t="s">
        <v>18</v>
      </c>
      <c r="B27" s="43">
        <f t="shared" si="1"/>
        <v>34.416394382092506</v>
      </c>
      <c r="C27" s="44">
        <v>460590651.08999997</v>
      </c>
      <c r="D27" s="45">
        <f t="shared" si="2"/>
        <v>37.028315374741098</v>
      </c>
      <c r="E27" s="28">
        <v>192977491.56999999</v>
      </c>
      <c r="F27" s="43">
        <f t="shared" si="3"/>
        <v>1.9499395812832019</v>
      </c>
      <c r="G27" s="26">
        <v>568234.37</v>
      </c>
      <c r="H27" s="47">
        <f t="shared" si="4"/>
        <v>48.842622686420455</v>
      </c>
      <c r="I27" s="44">
        <v>35781162.610000007</v>
      </c>
      <c r="J27" s="25">
        <f t="shared" si="5"/>
        <v>35.166687553733539</v>
      </c>
      <c r="K27" s="29">
        <f t="shared" si="0"/>
        <v>689917539.63999999</v>
      </c>
    </row>
    <row r="28" spans="1:11" x14ac:dyDescent="0.2">
      <c r="A28" s="24" t="s">
        <v>19</v>
      </c>
      <c r="B28" s="43">
        <f t="shared" si="1"/>
        <v>3.6833909731144208</v>
      </c>
      <c r="C28" s="44">
        <v>49294398.120000005</v>
      </c>
      <c r="D28" s="45">
        <f t="shared" si="2"/>
        <v>3.7801606845233384</v>
      </c>
      <c r="E28" s="28">
        <v>19700759.25</v>
      </c>
      <c r="F28" s="43">
        <f t="shared" si="3"/>
        <v>4.1897247473683077</v>
      </c>
      <c r="G28" s="26">
        <v>1220933.01</v>
      </c>
      <c r="H28" s="47">
        <f t="shared" si="4"/>
        <v>1.7203706073403453</v>
      </c>
      <c r="I28" s="44">
        <v>1260310.3</v>
      </c>
      <c r="J28" s="25">
        <f t="shared" si="5"/>
        <v>3.643316926673037</v>
      </c>
      <c r="K28" s="29">
        <f t="shared" si="0"/>
        <v>71476400.680000007</v>
      </c>
    </row>
    <row r="29" spans="1:11" ht="15" thickBot="1" x14ac:dyDescent="0.25">
      <c r="A29" s="30" t="s">
        <v>20</v>
      </c>
      <c r="B29" s="43">
        <f t="shared" si="1"/>
        <v>3.4893869012483281</v>
      </c>
      <c r="C29" s="44">
        <v>46698063.920000002</v>
      </c>
      <c r="D29" s="45">
        <f t="shared" si="2"/>
        <v>3.2582833037314982</v>
      </c>
      <c r="E29" s="34">
        <v>16980932.899999999</v>
      </c>
      <c r="F29" s="43">
        <f t="shared" si="3"/>
        <v>4.7364963596855745</v>
      </c>
      <c r="G29" s="32">
        <v>1380268.4199999997</v>
      </c>
      <c r="H29" s="47">
        <f t="shared" si="4"/>
        <v>3.1829054696668808</v>
      </c>
      <c r="I29" s="44">
        <v>2331735.1100000003</v>
      </c>
      <c r="J29" s="31">
        <f t="shared" si="5"/>
        <v>3.4350746532384506</v>
      </c>
      <c r="K29" s="41">
        <f t="shared" si="0"/>
        <v>67391000.350000009</v>
      </c>
    </row>
    <row r="30" spans="1:11" ht="15" thickBot="1" x14ac:dyDescent="0.25">
      <c r="A30" s="51" t="s">
        <v>1</v>
      </c>
      <c r="B30" s="52">
        <f>SUM(B10:B29)</f>
        <v>100.00000000000001</v>
      </c>
      <c r="C30" s="53">
        <f>SUM(C10:C29)</f>
        <v>1338288508.5999999</v>
      </c>
      <c r="D30" s="52">
        <f t="shared" ref="D30:F30" si="6">SUM(D10:D29)</f>
        <v>100</v>
      </c>
      <c r="E30" s="53">
        <f>SUM(E10:E29)</f>
        <v>521161953</v>
      </c>
      <c r="F30" s="52">
        <f t="shared" si="6"/>
        <v>100.00000000000001</v>
      </c>
      <c r="G30" s="53">
        <f>SUM(G10:G29)</f>
        <v>29141127.009999998</v>
      </c>
      <c r="H30" s="52">
        <f t="shared" ref="H30" si="7">SUM(H10:H29)</f>
        <v>100</v>
      </c>
      <c r="I30" s="313">
        <f>SUM(I10:I29)</f>
        <v>73258069.780000001</v>
      </c>
      <c r="J30" s="58">
        <f>SUM(J10:J29)</f>
        <v>100</v>
      </c>
      <c r="K30" s="59">
        <f>SUM(K10:K29)</f>
        <v>1961849658.3899996</v>
      </c>
    </row>
    <row r="31" spans="1:11" x14ac:dyDescent="0.2">
      <c r="A31" s="38" t="s">
        <v>36</v>
      </c>
      <c r="B31" s="36"/>
      <c r="C31" s="36"/>
      <c r="D31" s="36"/>
      <c r="E31" s="36"/>
      <c r="F31" s="36"/>
      <c r="G31" s="36"/>
      <c r="H31" s="36"/>
      <c r="I31" s="36"/>
      <c r="J31" s="36"/>
      <c r="K31" s="36"/>
    </row>
    <row r="32" spans="1:11" x14ac:dyDescent="0.2">
      <c r="A32" s="36"/>
      <c r="B32" s="36"/>
      <c r="C32" s="36"/>
      <c r="D32" s="36"/>
      <c r="E32" s="36"/>
      <c r="F32" s="36"/>
      <c r="G32" s="36"/>
      <c r="H32" s="36"/>
      <c r="I32" s="36"/>
      <c r="J32" s="36"/>
      <c r="K32" s="36"/>
    </row>
    <row r="33" spans="1:11" ht="27" customHeight="1" x14ac:dyDescent="0.2">
      <c r="A33" s="324" t="s">
        <v>231</v>
      </c>
      <c r="B33" s="324"/>
      <c r="C33" s="324"/>
      <c r="D33" s="324"/>
      <c r="E33" s="324"/>
      <c r="F33" s="324"/>
      <c r="G33" s="324"/>
      <c r="H33" s="324"/>
      <c r="I33" s="324"/>
      <c r="J33" s="324"/>
      <c r="K33" s="324"/>
    </row>
    <row r="34" spans="1:11" x14ac:dyDescent="0.2">
      <c r="A34" s="36"/>
      <c r="B34" s="36"/>
      <c r="C34" s="37"/>
      <c r="D34" s="37"/>
      <c r="E34" s="36"/>
      <c r="F34" s="36"/>
      <c r="G34" s="37"/>
      <c r="H34" s="37"/>
      <c r="I34" s="37"/>
      <c r="J34" s="37"/>
      <c r="K34" s="37"/>
    </row>
    <row r="35" spans="1:11" x14ac:dyDescent="0.2">
      <c r="A35" s="38"/>
      <c r="B35" s="311"/>
      <c r="C35" s="311"/>
      <c r="D35" s="311"/>
      <c r="E35" s="311"/>
      <c r="F35" s="311"/>
      <c r="G35" s="311"/>
      <c r="H35" s="311"/>
      <c r="I35" s="311"/>
      <c r="J35" s="311"/>
      <c r="K35" s="311"/>
    </row>
    <row r="36" spans="1:11" x14ac:dyDescent="0.2">
      <c r="B36" s="311"/>
      <c r="C36" s="311"/>
      <c r="D36" s="311"/>
      <c r="E36" s="311"/>
      <c r="F36" s="311"/>
      <c r="G36" s="311"/>
      <c r="H36" s="311"/>
      <c r="I36" s="311"/>
      <c r="J36" s="312"/>
      <c r="K36" s="312"/>
    </row>
  </sheetData>
  <sortState ref="A10:K29">
    <sortCondition ref="A10"/>
  </sortState>
  <mergeCells count="11">
    <mergeCell ref="A33:K33"/>
    <mergeCell ref="J8:K8"/>
    <mergeCell ref="A1:K1"/>
    <mergeCell ref="A2:K2"/>
    <mergeCell ref="A3:K3"/>
    <mergeCell ref="A8:A9"/>
    <mergeCell ref="B8:C8"/>
    <mergeCell ref="D8:E8"/>
    <mergeCell ref="F8:G8"/>
    <mergeCell ref="A5:K6"/>
    <mergeCell ref="H8:I8"/>
  </mergeCells>
  <printOptions horizontalCentered="1"/>
  <pageMargins left="0.15748031496062992" right="0.39370078740157483" top="0.35433070866141736" bottom="0.39370078740157483" header="0.31496062992125984" footer="0.31496062992125984"/>
  <pageSetup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sheetPr>
  <dimension ref="A1:F37"/>
  <sheetViews>
    <sheetView workbookViewId="0">
      <selection activeCell="B17" sqref="B17"/>
    </sheetView>
  </sheetViews>
  <sheetFormatPr baseColWidth="10" defaultRowHeight="14.25" x14ac:dyDescent="0.2"/>
  <cols>
    <col min="1" max="1" width="33.5546875" style="1" customWidth="1"/>
    <col min="2" max="4" width="20.77734375" style="1" customWidth="1"/>
    <col min="5" max="16384" width="11.5546875" style="1"/>
  </cols>
  <sheetData>
    <row r="1" spans="1:6" x14ac:dyDescent="0.2">
      <c r="A1" s="315" t="s">
        <v>26</v>
      </c>
      <c r="B1" s="315"/>
      <c r="C1" s="315"/>
      <c r="D1" s="315"/>
    </row>
    <row r="2" spans="1:6" x14ac:dyDescent="0.2">
      <c r="A2" s="315" t="s">
        <v>27</v>
      </c>
      <c r="B2" s="315"/>
      <c r="C2" s="315"/>
      <c r="D2" s="315"/>
    </row>
    <row r="3" spans="1:6" x14ac:dyDescent="0.2">
      <c r="A3" s="315" t="s">
        <v>28</v>
      </c>
      <c r="B3" s="315"/>
      <c r="C3" s="315"/>
      <c r="D3" s="315"/>
    </row>
    <row r="4" spans="1:6" x14ac:dyDescent="0.2">
      <c r="A4" s="36"/>
      <c r="B4" s="36"/>
      <c r="C4" s="36"/>
      <c r="D4" s="36"/>
    </row>
    <row r="5" spans="1:6" ht="21" customHeight="1" x14ac:dyDescent="0.2">
      <c r="A5" s="323" t="s">
        <v>216</v>
      </c>
      <c r="B5" s="323"/>
      <c r="C5" s="323"/>
      <c r="D5" s="323"/>
    </row>
    <row r="6" spans="1:6" ht="15" thickBot="1" x14ac:dyDescent="0.25">
      <c r="A6" s="36"/>
      <c r="B6" s="36"/>
      <c r="C6" s="36"/>
      <c r="D6" s="39" t="s">
        <v>29</v>
      </c>
    </row>
    <row r="7" spans="1:6" ht="24.95" customHeight="1" x14ac:dyDescent="0.2">
      <c r="A7" s="316" t="s">
        <v>0</v>
      </c>
      <c r="B7" s="327" t="s">
        <v>35</v>
      </c>
      <c r="C7" s="327" t="s">
        <v>21</v>
      </c>
      <c r="D7" s="329" t="s">
        <v>22</v>
      </c>
      <c r="F7" s="6"/>
    </row>
    <row r="8" spans="1:6" ht="30" customHeight="1" thickBot="1" x14ac:dyDescent="0.25">
      <c r="A8" s="331"/>
      <c r="B8" s="328"/>
      <c r="C8" s="328"/>
      <c r="D8" s="330"/>
    </row>
    <row r="9" spans="1:6" x14ac:dyDescent="0.2">
      <c r="A9" s="2" t="s">
        <v>2</v>
      </c>
      <c r="B9" s="12">
        <f>PROVISIONALES!K9</f>
        <v>68197037.140000001</v>
      </c>
      <c r="C9" s="12">
        <f>DEFINITIVAS!K10</f>
        <v>68455482.900000006</v>
      </c>
      <c r="D9" s="15">
        <f t="shared" ref="D9:D28" si="0">C9-B9</f>
        <v>258445.76000000536</v>
      </c>
      <c r="F9" s="11"/>
    </row>
    <row r="10" spans="1:6" x14ac:dyDescent="0.2">
      <c r="A10" s="3" t="s">
        <v>3</v>
      </c>
      <c r="B10" s="13">
        <f>PROVISIONALES!K10</f>
        <v>47741862.140000001</v>
      </c>
      <c r="C10" s="13">
        <f>DEFINITIVAS!K11</f>
        <v>47998053.989999995</v>
      </c>
      <c r="D10" s="16">
        <f t="shared" si="0"/>
        <v>256191.84999999404</v>
      </c>
      <c r="F10" s="11"/>
    </row>
    <row r="11" spans="1:6" x14ac:dyDescent="0.2">
      <c r="A11" s="3" t="s">
        <v>4</v>
      </c>
      <c r="B11" s="13">
        <f>PROVISIONALES!K11</f>
        <v>44840620.230000004</v>
      </c>
      <c r="C11" s="13">
        <f>DEFINITIVAS!K12</f>
        <v>45096315.710000001</v>
      </c>
      <c r="D11" s="16">
        <f t="shared" si="0"/>
        <v>255695.47999999672</v>
      </c>
      <c r="F11" s="11"/>
    </row>
    <row r="12" spans="1:6" x14ac:dyDescent="0.2">
      <c r="A12" s="3" t="s">
        <v>5</v>
      </c>
      <c r="B12" s="13">
        <f>PROVISIONALES!K12</f>
        <v>105307168.68000001</v>
      </c>
      <c r="C12" s="13">
        <f>DEFINITIVAS!K13</f>
        <v>105567192.76999998</v>
      </c>
      <c r="D12" s="16">
        <f t="shared" si="0"/>
        <v>260024.08999997377</v>
      </c>
      <c r="F12" s="11"/>
    </row>
    <row r="13" spans="1:6" x14ac:dyDescent="0.2">
      <c r="A13" s="3" t="s">
        <v>6</v>
      </c>
      <c r="B13" s="13">
        <f>PROVISIONALES!K13</f>
        <v>90834313.340000004</v>
      </c>
      <c r="C13" s="13">
        <f>DEFINITIVAS!K14</f>
        <v>91096339.36999999</v>
      </c>
      <c r="D13" s="16">
        <f t="shared" si="0"/>
        <v>262026.02999998629</v>
      </c>
      <c r="F13" s="11"/>
    </row>
    <row r="14" spans="1:6" x14ac:dyDescent="0.2">
      <c r="A14" s="3" t="s">
        <v>7</v>
      </c>
      <c r="B14" s="13">
        <f>PROVISIONALES!K14</f>
        <v>56798240.910000011</v>
      </c>
      <c r="C14" s="13">
        <f>DEFINITIVAS!K15</f>
        <v>57065548.520000003</v>
      </c>
      <c r="D14" s="16">
        <f t="shared" si="0"/>
        <v>267307.60999999195</v>
      </c>
      <c r="F14" s="11"/>
    </row>
    <row r="15" spans="1:6" x14ac:dyDescent="0.2">
      <c r="A15" s="3" t="s">
        <v>8</v>
      </c>
      <c r="B15" s="13">
        <f>PROVISIONALES!K15</f>
        <v>33483898.969999995</v>
      </c>
      <c r="C15" s="13">
        <f>DEFINITIVAS!K16</f>
        <v>33739108.86999999</v>
      </c>
      <c r="D15" s="16">
        <f t="shared" si="0"/>
        <v>255209.89999999478</v>
      </c>
      <c r="F15" s="11"/>
    </row>
    <row r="16" spans="1:6" x14ac:dyDescent="0.2">
      <c r="A16" s="3" t="s">
        <v>9</v>
      </c>
      <c r="B16" s="13">
        <f>PROVISIONALES!K16</f>
        <v>62462442.350000001</v>
      </c>
      <c r="C16" s="13">
        <f>DEFINITIVAS!K17</f>
        <v>62721393.400000006</v>
      </c>
      <c r="D16" s="16">
        <f t="shared" si="0"/>
        <v>258951.05000000447</v>
      </c>
      <c r="F16" s="11"/>
    </row>
    <row r="17" spans="1:6" x14ac:dyDescent="0.2">
      <c r="A17" s="3" t="s">
        <v>10</v>
      </c>
      <c r="B17" s="13">
        <f>PROVISIONALES!K17</f>
        <v>53656869.939999998</v>
      </c>
      <c r="C17" s="13">
        <f>DEFINITIVAS!K18</f>
        <v>53913698.259999998</v>
      </c>
      <c r="D17" s="16">
        <f t="shared" si="0"/>
        <v>256828.3200000003</v>
      </c>
      <c r="F17" s="11"/>
    </row>
    <row r="18" spans="1:6" x14ac:dyDescent="0.2">
      <c r="A18" s="3" t="s">
        <v>11</v>
      </c>
      <c r="B18" s="13">
        <f>PROVISIONALES!K18</f>
        <v>35406559.919999994</v>
      </c>
      <c r="C18" s="13">
        <f>DEFINITIVAS!K19</f>
        <v>35662319.109999992</v>
      </c>
      <c r="D18" s="16">
        <f t="shared" si="0"/>
        <v>255759.18999999762</v>
      </c>
      <c r="F18" s="11"/>
    </row>
    <row r="19" spans="1:6" x14ac:dyDescent="0.2">
      <c r="A19" s="3" t="s">
        <v>12</v>
      </c>
      <c r="B19" s="13">
        <f>PROVISIONALES!K19</f>
        <v>58848104.869999997</v>
      </c>
      <c r="C19" s="13">
        <f>DEFINITIVAS!K20</f>
        <v>59105610.660000004</v>
      </c>
      <c r="D19" s="16">
        <f t="shared" si="0"/>
        <v>257505.79000000656</v>
      </c>
      <c r="F19" s="11"/>
    </row>
    <row r="20" spans="1:6" x14ac:dyDescent="0.2">
      <c r="A20" s="3" t="s">
        <v>13</v>
      </c>
      <c r="B20" s="13">
        <f>PROVISIONALES!K20</f>
        <v>58880178.74000001</v>
      </c>
      <c r="C20" s="13">
        <f>DEFINITIVAS!K21</f>
        <v>59135969.460000001</v>
      </c>
      <c r="D20" s="16">
        <f t="shared" si="0"/>
        <v>255790.71999999136</v>
      </c>
      <c r="F20" s="11"/>
    </row>
    <row r="21" spans="1:6" x14ac:dyDescent="0.2">
      <c r="A21" s="3" t="s">
        <v>14</v>
      </c>
      <c r="B21" s="13">
        <f>PROVISIONALES!K21</f>
        <v>83851051.25</v>
      </c>
      <c r="C21" s="13">
        <f>DEFINITIVAS!K22</f>
        <v>84109884.059999987</v>
      </c>
      <c r="D21" s="16">
        <f t="shared" si="0"/>
        <v>258832.80999998748</v>
      </c>
      <c r="F21" s="11"/>
    </row>
    <row r="22" spans="1:6" x14ac:dyDescent="0.2">
      <c r="A22" s="3" t="s">
        <v>25</v>
      </c>
      <c r="B22" s="13">
        <f>PROVISIONALES!K22</f>
        <v>43298349.68999999</v>
      </c>
      <c r="C22" s="13">
        <f>DEFINITIVAS!K23</f>
        <v>43553443.269999996</v>
      </c>
      <c r="D22" s="16">
        <f t="shared" si="0"/>
        <v>255093.58000000566</v>
      </c>
      <c r="F22" s="11"/>
    </row>
    <row r="23" spans="1:6" x14ac:dyDescent="0.2">
      <c r="A23" s="3" t="s">
        <v>15</v>
      </c>
      <c r="B23" s="13">
        <f>PROVISIONALES!K23</f>
        <v>56185353.690000005</v>
      </c>
      <c r="C23" s="13">
        <f>DEFINITIVAS!K24</f>
        <v>56443414.109999999</v>
      </c>
      <c r="D23" s="16">
        <f t="shared" si="0"/>
        <v>258060.41999999434</v>
      </c>
      <c r="F23" s="11"/>
    </row>
    <row r="24" spans="1:6" x14ac:dyDescent="0.2">
      <c r="A24" s="3" t="s">
        <v>16</v>
      </c>
      <c r="B24" s="13">
        <f>PROVISIONALES!K24</f>
        <v>161766914.05000001</v>
      </c>
      <c r="C24" s="13">
        <f>DEFINITIVAS!K25</f>
        <v>162032605.41</v>
      </c>
      <c r="D24" s="16">
        <f t="shared" si="0"/>
        <v>265691.3599999845</v>
      </c>
      <c r="F24" s="11"/>
    </row>
    <row r="25" spans="1:6" x14ac:dyDescent="0.2">
      <c r="A25" s="3" t="s">
        <v>17</v>
      </c>
      <c r="B25" s="13">
        <f>PROVISIONALES!K25</f>
        <v>67109624.060000002</v>
      </c>
      <c r="C25" s="13">
        <f>DEFINITIVAS!K26</f>
        <v>67368337.849999994</v>
      </c>
      <c r="D25" s="16">
        <f t="shared" si="0"/>
        <v>258713.78999999166</v>
      </c>
      <c r="F25" s="11"/>
    </row>
    <row r="26" spans="1:6" x14ac:dyDescent="0.2">
      <c r="A26" s="3" t="s">
        <v>18</v>
      </c>
      <c r="B26" s="13">
        <f>PROVISIONALES!K26</f>
        <v>689668158.12000012</v>
      </c>
      <c r="C26" s="13">
        <f>DEFINITIVAS!K27</f>
        <v>689917539.63999999</v>
      </c>
      <c r="D26" s="16">
        <f t="shared" si="0"/>
        <v>249381.51999986172</v>
      </c>
      <c r="F26" s="11"/>
    </row>
    <row r="27" spans="1:6" x14ac:dyDescent="0.2">
      <c r="A27" s="3" t="s">
        <v>19</v>
      </c>
      <c r="B27" s="13">
        <f>PROVISIONALES!K27</f>
        <v>71218829.569999993</v>
      </c>
      <c r="C27" s="13">
        <f>DEFINITIVAS!K28</f>
        <v>71476400.680000007</v>
      </c>
      <c r="D27" s="16">
        <f t="shared" si="0"/>
        <v>257571.11000001431</v>
      </c>
      <c r="F27" s="11"/>
    </row>
    <row r="28" spans="1:6" ht="15" thickBot="1" x14ac:dyDescent="0.25">
      <c r="A28" s="4" t="s">
        <v>20</v>
      </c>
      <c r="B28" s="14">
        <f>PROVISIONALES!K28</f>
        <v>67129709.600000009</v>
      </c>
      <c r="C28" s="14">
        <f>DEFINITIVAS!K29</f>
        <v>67391000.350000009</v>
      </c>
      <c r="D28" s="17">
        <f t="shared" si="0"/>
        <v>261290.75</v>
      </c>
      <c r="F28" s="11"/>
    </row>
    <row r="29" spans="1:6" ht="15.75" thickBot="1" x14ac:dyDescent="0.3">
      <c r="A29" s="60" t="s">
        <v>1</v>
      </c>
      <c r="B29" s="61">
        <f>SUM(B9:B28)</f>
        <v>1956685287.26</v>
      </c>
      <c r="C29" s="61">
        <f t="shared" ref="C29:D29" si="1">SUM(C9:C28)</f>
        <v>1961849658.3899996</v>
      </c>
      <c r="D29" s="62">
        <f t="shared" si="1"/>
        <v>5164371.1299997829</v>
      </c>
      <c r="F29" s="11"/>
    </row>
    <row r="30" spans="1:6" ht="14.25" customHeight="1" x14ac:dyDescent="0.2">
      <c r="A30" s="38" t="s">
        <v>36</v>
      </c>
      <c r="C30" s="8"/>
    </row>
    <row r="31" spans="1:6" ht="14.25" customHeight="1" x14ac:dyDescent="0.2">
      <c r="C31" s="8"/>
    </row>
    <row r="32" spans="1:6" ht="67.5" customHeight="1" x14ac:dyDescent="0.2">
      <c r="A32" s="326" t="s">
        <v>232</v>
      </c>
      <c r="B32" s="326"/>
      <c r="C32" s="326"/>
      <c r="D32" s="326"/>
    </row>
    <row r="33" spans="1:3" x14ac:dyDescent="0.2">
      <c r="A33" s="9"/>
      <c r="B33" s="10"/>
      <c r="C33" s="7"/>
    </row>
    <row r="34" spans="1:3" x14ac:dyDescent="0.2">
      <c r="A34" s="9"/>
      <c r="B34" s="10"/>
      <c r="C34" s="7"/>
    </row>
    <row r="35" spans="1:3" x14ac:dyDescent="0.2">
      <c r="B35" s="7"/>
      <c r="C35" s="7"/>
    </row>
    <row r="36" spans="1:3" x14ac:dyDescent="0.2">
      <c r="B36" s="7"/>
      <c r="C36" s="7"/>
    </row>
    <row r="37" spans="1:3" x14ac:dyDescent="0.2">
      <c r="B37" s="7"/>
    </row>
  </sheetData>
  <sortState ref="A10:D28">
    <sortCondition ref="A9"/>
  </sortState>
  <mergeCells count="9">
    <mergeCell ref="A32:D32"/>
    <mergeCell ref="A1:D1"/>
    <mergeCell ref="A2:D2"/>
    <mergeCell ref="A3:D3"/>
    <mergeCell ref="A5:D5"/>
    <mergeCell ref="B7:B8"/>
    <mergeCell ref="C7:C8"/>
    <mergeCell ref="D7:D8"/>
    <mergeCell ref="A7:A8"/>
  </mergeCells>
  <printOptions horizontalCentered="1"/>
  <pageMargins left="0.59055118110236227" right="0.70866141732283472" top="0.43307086614173229" bottom="0.3937007874015748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B1:W35"/>
  <sheetViews>
    <sheetView zoomScaleNormal="100" workbookViewId="0">
      <selection activeCell="B2" sqref="B2:S2"/>
    </sheetView>
  </sheetViews>
  <sheetFormatPr baseColWidth="10" defaultRowHeight="15" x14ac:dyDescent="0.25"/>
  <cols>
    <col min="1" max="1" width="2.77734375" style="65" customWidth="1"/>
    <col min="2" max="2" width="15.88671875" style="65" customWidth="1"/>
    <col min="3" max="3" width="11.33203125" style="65" bestFit="1" customWidth="1"/>
    <col min="4" max="4" width="11.77734375" style="65" customWidth="1"/>
    <col min="5" max="5" width="10.44140625" style="65" bestFit="1" customWidth="1"/>
    <col min="6" max="6" width="13.5546875" style="64" customWidth="1"/>
    <col min="7" max="7" width="12.88671875" style="64" customWidth="1"/>
    <col min="8" max="8" width="13" style="64" customWidth="1"/>
    <col min="9" max="9" width="11.88671875" style="65" customWidth="1"/>
    <col min="10" max="10" width="12.77734375" style="65" customWidth="1"/>
    <col min="11" max="11" width="11.6640625" style="65" customWidth="1"/>
    <col min="12" max="12" width="13.21875" style="65" customWidth="1"/>
    <col min="13" max="13" width="11" style="65" customWidth="1"/>
    <col min="14" max="14" width="11.21875" style="65" customWidth="1"/>
    <col min="15" max="15" width="9.44140625" style="65" customWidth="1"/>
    <col min="16" max="17" width="11.21875" style="65" customWidth="1"/>
    <col min="18" max="18" width="13.21875" style="65" customWidth="1"/>
    <col min="19" max="19" width="11.6640625" style="65" customWidth="1"/>
    <col min="20" max="20" width="0.21875" style="65" customWidth="1"/>
    <col min="21" max="21" width="13.88671875" style="65" bestFit="1" customWidth="1"/>
    <col min="22" max="22" width="9.44140625" style="65" bestFit="1" customWidth="1"/>
    <col min="23" max="16384" width="11.5546875" style="65"/>
  </cols>
  <sheetData>
    <row r="1" spans="2:23" x14ac:dyDescent="0.25">
      <c r="B1" s="63"/>
      <c r="C1" s="63"/>
      <c r="D1" s="63"/>
      <c r="E1" s="63"/>
      <c r="S1" s="66"/>
    </row>
    <row r="2" spans="2:23" ht="15.75" x14ac:dyDescent="0.25">
      <c r="B2" s="342" t="s">
        <v>217</v>
      </c>
      <c r="C2" s="342"/>
      <c r="D2" s="342"/>
      <c r="E2" s="342"/>
      <c r="F2" s="342"/>
      <c r="G2" s="342"/>
      <c r="H2" s="342"/>
      <c r="I2" s="342"/>
      <c r="J2" s="342"/>
      <c r="K2" s="342"/>
      <c r="L2" s="342"/>
      <c r="M2" s="342"/>
      <c r="N2" s="342"/>
      <c r="O2" s="342"/>
      <c r="P2" s="342"/>
      <c r="Q2" s="342"/>
      <c r="R2" s="342"/>
      <c r="S2" s="342"/>
    </row>
    <row r="3" spans="2:23" ht="15.75" thickBot="1" x14ac:dyDescent="0.3">
      <c r="B3" s="66"/>
      <c r="C3" s="66"/>
      <c r="D3" s="66"/>
      <c r="E3" s="66"/>
      <c r="F3" s="66"/>
      <c r="G3" s="66"/>
      <c r="H3" s="66"/>
      <c r="I3" s="64"/>
    </row>
    <row r="4" spans="2:23" ht="33.75" customHeight="1" thickBot="1" x14ac:dyDescent="0.3">
      <c r="B4" s="343" t="s">
        <v>0</v>
      </c>
      <c r="C4" s="345" t="s">
        <v>37</v>
      </c>
      <c r="D4" s="346"/>
      <c r="E4" s="346"/>
      <c r="F4" s="347"/>
      <c r="G4" s="345" t="s">
        <v>38</v>
      </c>
      <c r="H4" s="346"/>
      <c r="I4" s="346"/>
      <c r="J4" s="346"/>
      <c r="K4" s="346"/>
      <c r="L4" s="347"/>
      <c r="M4" s="348" t="s">
        <v>39</v>
      </c>
      <c r="N4" s="349"/>
      <c r="O4" s="349"/>
      <c r="P4" s="349"/>
      <c r="Q4" s="349"/>
      <c r="R4" s="350"/>
      <c r="S4" s="67" t="s">
        <v>40</v>
      </c>
      <c r="T4" s="332" t="s">
        <v>41</v>
      </c>
    </row>
    <row r="5" spans="2:23" ht="15" customHeight="1" x14ac:dyDescent="0.25">
      <c r="B5" s="344"/>
      <c r="C5" s="68" t="s">
        <v>42</v>
      </c>
      <c r="D5" s="333" t="s">
        <v>206</v>
      </c>
      <c r="E5" s="69" t="s">
        <v>43</v>
      </c>
      <c r="F5" s="333" t="s">
        <v>205</v>
      </c>
      <c r="G5" s="336" t="s">
        <v>207</v>
      </c>
      <c r="H5" s="337"/>
      <c r="I5" s="340" t="s">
        <v>208</v>
      </c>
      <c r="J5" s="352" t="s">
        <v>44</v>
      </c>
      <c r="K5" s="69" t="s">
        <v>45</v>
      </c>
      <c r="L5" s="333" t="s">
        <v>210</v>
      </c>
      <c r="M5" s="333" t="s">
        <v>46</v>
      </c>
      <c r="N5" s="340" t="s">
        <v>211</v>
      </c>
      <c r="O5" s="340" t="s">
        <v>47</v>
      </c>
      <c r="P5" s="340" t="s">
        <v>236</v>
      </c>
      <c r="Q5" s="355" t="s">
        <v>212</v>
      </c>
      <c r="R5" s="333" t="s">
        <v>213</v>
      </c>
      <c r="S5" s="357" t="s">
        <v>222</v>
      </c>
      <c r="T5" s="332"/>
    </row>
    <row r="6" spans="2:23" ht="19.5" customHeight="1" thickBot="1" x14ac:dyDescent="0.3">
      <c r="B6" s="344"/>
      <c r="C6" s="70" t="s">
        <v>226</v>
      </c>
      <c r="D6" s="334"/>
      <c r="E6" s="71" t="s">
        <v>204</v>
      </c>
      <c r="F6" s="335"/>
      <c r="G6" s="338"/>
      <c r="H6" s="339"/>
      <c r="I6" s="341"/>
      <c r="J6" s="353"/>
      <c r="K6" s="71" t="s">
        <v>209</v>
      </c>
      <c r="L6" s="335"/>
      <c r="M6" s="335"/>
      <c r="N6" s="341"/>
      <c r="O6" s="341"/>
      <c r="P6" s="334"/>
      <c r="Q6" s="356"/>
      <c r="R6" s="335"/>
      <c r="S6" s="357"/>
      <c r="T6" s="332"/>
    </row>
    <row r="7" spans="2:23" x14ac:dyDescent="0.25">
      <c r="B7" s="344"/>
      <c r="C7" s="70" t="s">
        <v>48</v>
      </c>
      <c r="D7" s="71" t="s">
        <v>49</v>
      </c>
      <c r="E7" s="72">
        <v>0.6</v>
      </c>
      <c r="F7" s="335"/>
      <c r="G7" s="73">
        <v>2015</v>
      </c>
      <c r="H7" s="74">
        <v>2016</v>
      </c>
      <c r="I7" s="341"/>
      <c r="J7" s="353"/>
      <c r="K7" s="72">
        <v>0.3</v>
      </c>
      <c r="L7" s="335"/>
      <c r="M7" s="335"/>
      <c r="N7" s="341"/>
      <c r="O7" s="341"/>
      <c r="P7" s="334"/>
      <c r="Q7" s="356"/>
      <c r="R7" s="335"/>
      <c r="S7" s="357"/>
      <c r="T7" s="332"/>
    </row>
    <row r="8" spans="2:23" ht="15.75" thickBot="1" x14ac:dyDescent="0.3">
      <c r="B8" s="344"/>
      <c r="C8" s="75" t="s">
        <v>50</v>
      </c>
      <c r="D8" s="76" t="s">
        <v>51</v>
      </c>
      <c r="E8" s="76" t="s">
        <v>52</v>
      </c>
      <c r="F8" s="76" t="s">
        <v>53</v>
      </c>
      <c r="G8" s="76" t="s">
        <v>54</v>
      </c>
      <c r="H8" s="76" t="s">
        <v>55</v>
      </c>
      <c r="I8" s="76" t="s">
        <v>56</v>
      </c>
      <c r="J8" s="76" t="s">
        <v>57</v>
      </c>
      <c r="K8" s="76" t="s">
        <v>58</v>
      </c>
      <c r="L8" s="77" t="s">
        <v>59</v>
      </c>
      <c r="M8" s="77" t="s">
        <v>60</v>
      </c>
      <c r="N8" s="77" t="s">
        <v>61</v>
      </c>
      <c r="O8" s="77" t="s">
        <v>62</v>
      </c>
      <c r="P8" s="354"/>
      <c r="Q8" s="78" t="s">
        <v>63</v>
      </c>
      <c r="R8" s="77" t="s">
        <v>64</v>
      </c>
      <c r="S8" s="79" t="s">
        <v>65</v>
      </c>
      <c r="T8" s="332"/>
    </row>
    <row r="9" spans="2:23" s="94" customFormat="1" ht="16.5" customHeight="1" x14ac:dyDescent="0.25">
      <c r="B9" s="80" t="s">
        <v>66</v>
      </c>
      <c r="C9" s="81">
        <v>37309</v>
      </c>
      <c r="D9" s="82">
        <f>C9/$C$29*100</f>
        <v>3.1589687142796663</v>
      </c>
      <c r="E9" s="83">
        <f>D9*0.6</f>
        <v>1.8953812285677998</v>
      </c>
      <c r="F9" s="84">
        <f>Datos!$L$18*FGP!E9/100</f>
        <v>3451.3257405909994</v>
      </c>
      <c r="G9" s="85">
        <v>9840850</v>
      </c>
      <c r="H9" s="86">
        <v>9587479</v>
      </c>
      <c r="I9" s="82">
        <f>H9/G9</f>
        <v>0.97425313870244945</v>
      </c>
      <c r="J9" s="82">
        <f>I9/$I$29*100</f>
        <v>3.9702722966484543</v>
      </c>
      <c r="K9" s="82">
        <f>J9*0.3</f>
        <v>1.1910816889945361</v>
      </c>
      <c r="L9" s="87">
        <f>Datos!$L$18*FGP!K9/100</f>
        <v>2168.8570248633746</v>
      </c>
      <c r="M9" s="88">
        <f>F9+L9</f>
        <v>5620.182765454374</v>
      </c>
      <c r="N9" s="82">
        <f>K9+E9</f>
        <v>3.0864629175623359</v>
      </c>
      <c r="O9" s="82">
        <f>MINVERSE(N9)</f>
        <v>0.32399546882934593</v>
      </c>
      <c r="P9" s="82">
        <f>O9/O$29*100</f>
        <v>4.6874668574217839</v>
      </c>
      <c r="Q9" s="82">
        <f>P9*0.1</f>
        <v>0.46874668574217843</v>
      </c>
      <c r="R9" s="89">
        <f>$R$29*P9/100</f>
        <v>853.54728533486161</v>
      </c>
      <c r="S9" s="90">
        <f>F9+L9+R9</f>
        <v>6473.730050789236</v>
      </c>
      <c r="T9" s="91" t="e">
        <f>#REF!+K9+E9</f>
        <v>#REF!</v>
      </c>
      <c r="U9" s="92"/>
      <c r="V9" s="93"/>
      <c r="W9" s="93"/>
    </row>
    <row r="10" spans="2:23" s="94" customFormat="1" ht="16.5" customHeight="1" x14ac:dyDescent="0.25">
      <c r="B10" s="80" t="s">
        <v>67</v>
      </c>
      <c r="C10" s="81">
        <v>15953</v>
      </c>
      <c r="D10" s="82">
        <f t="shared" ref="D10:D28" si="0">C10/$C$29*100</f>
        <v>1.3507472164599297</v>
      </c>
      <c r="E10" s="83">
        <f t="shared" ref="E10:E28" si="1">D10*0.6</f>
        <v>0.81044832987595783</v>
      </c>
      <c r="F10" s="84">
        <f>Datos!$L$18*FGP!E10/100</f>
        <v>1475.7565075356674</v>
      </c>
      <c r="G10" s="85">
        <v>3790321</v>
      </c>
      <c r="H10" s="86">
        <v>4153474</v>
      </c>
      <c r="I10" s="82">
        <f t="shared" ref="I10:I28" si="2">H10/G10</f>
        <v>1.0958106186784708</v>
      </c>
      <c r="J10" s="82">
        <f t="shared" ref="J10:J28" si="3">I10/$I$29*100</f>
        <v>4.4656428282147838</v>
      </c>
      <c r="K10" s="95">
        <f t="shared" ref="K10:K28" si="4">J10*0.3</f>
        <v>1.339692848464435</v>
      </c>
      <c r="L10" s="87">
        <f>Datos!$L$18*FGP!K10/100</f>
        <v>2439.4651285455561</v>
      </c>
      <c r="M10" s="96">
        <f t="shared" ref="M10:M29" si="5">F10+L10</f>
        <v>3915.2216360812236</v>
      </c>
      <c r="N10" s="95">
        <f t="shared" ref="N10:N28" si="6">K10+E10</f>
        <v>2.1501411783403928</v>
      </c>
      <c r="O10" s="95">
        <f t="shared" ref="O10:O28" si="7">MINVERSE(N10)</f>
        <v>0.46508573951960663</v>
      </c>
      <c r="P10" s="95">
        <f t="shared" ref="P10:P28" si="8">O10/O$29*100</f>
        <v>6.7287175272378263</v>
      </c>
      <c r="Q10" s="95">
        <f t="shared" ref="Q10:Q28" si="9">P10*0.1</f>
        <v>0.67287175272378263</v>
      </c>
      <c r="R10" s="89">
        <f t="shared" ref="R10:R28" si="10">$R$29*P10/100</f>
        <v>1225.2414265213358</v>
      </c>
      <c r="S10" s="90">
        <f t="shared" ref="S10:S28" si="11">F10+L10+R10</f>
        <v>5140.4630626025591</v>
      </c>
      <c r="T10" s="91" t="e">
        <f>#REF!+K10+E10</f>
        <v>#REF!</v>
      </c>
      <c r="U10" s="92"/>
      <c r="V10" s="93"/>
      <c r="W10" s="93"/>
    </row>
    <row r="11" spans="2:23" s="94" customFormat="1" ht="16.5" customHeight="1" x14ac:dyDescent="0.25">
      <c r="B11" s="80" t="s">
        <v>68</v>
      </c>
      <c r="C11" s="81">
        <v>11851</v>
      </c>
      <c r="D11" s="82">
        <f t="shared" si="0"/>
        <v>1.0034291520257399</v>
      </c>
      <c r="E11" s="83">
        <f t="shared" si="1"/>
        <v>0.60205749121544394</v>
      </c>
      <c r="F11" s="84">
        <f>Datos!$L$18*FGP!E11/100</f>
        <v>1096.2947640447062</v>
      </c>
      <c r="G11" s="85">
        <v>3689187</v>
      </c>
      <c r="H11" s="86">
        <v>3784530</v>
      </c>
      <c r="I11" s="82">
        <f t="shared" si="2"/>
        <v>1.0258439054458339</v>
      </c>
      <c r="J11" s="82">
        <f t="shared" si="3"/>
        <v>4.1805147724765668</v>
      </c>
      <c r="K11" s="95">
        <f t="shared" si="4"/>
        <v>1.25415443174297</v>
      </c>
      <c r="L11" s="87">
        <f>Datos!$L$18*FGP!K11/100</f>
        <v>2283.7070493842107</v>
      </c>
      <c r="M11" s="96">
        <f t="shared" si="5"/>
        <v>3380.0018134289166</v>
      </c>
      <c r="N11" s="95">
        <f t="shared" si="6"/>
        <v>1.856211922958414</v>
      </c>
      <c r="O11" s="95">
        <f t="shared" si="7"/>
        <v>0.53873158965933643</v>
      </c>
      <c r="P11" s="95">
        <f t="shared" si="8"/>
        <v>7.7942030507358862</v>
      </c>
      <c r="Q11" s="95">
        <f t="shared" si="9"/>
        <v>0.77942030507358862</v>
      </c>
      <c r="R11" s="89">
        <f t="shared" si="10"/>
        <v>1419.2571505376923</v>
      </c>
      <c r="S11" s="90">
        <f t="shared" si="11"/>
        <v>4799.2589639666094</v>
      </c>
      <c r="T11" s="91" t="e">
        <f>#REF!+K11+E11</f>
        <v>#REF!</v>
      </c>
      <c r="U11" s="92"/>
      <c r="V11" s="93"/>
      <c r="W11" s="93"/>
    </row>
    <row r="12" spans="2:23" s="94" customFormat="1" ht="16.5" customHeight="1" x14ac:dyDescent="0.25">
      <c r="B12" s="80" t="s">
        <v>69</v>
      </c>
      <c r="C12" s="81">
        <v>150250</v>
      </c>
      <c r="D12" s="82">
        <f t="shared" si="0"/>
        <v>12.721730663392744</v>
      </c>
      <c r="E12" s="83">
        <f t="shared" si="1"/>
        <v>7.6330383980356462</v>
      </c>
      <c r="F12" s="84">
        <f>Datos!$L$18*FGP!E12/100</f>
        <v>13899.104573261082</v>
      </c>
      <c r="G12" s="85">
        <v>173337196.16</v>
      </c>
      <c r="H12" s="86">
        <v>214394286</v>
      </c>
      <c r="I12" s="82">
        <f t="shared" si="2"/>
        <v>1.2368625473905901</v>
      </c>
      <c r="J12" s="82">
        <f t="shared" si="3"/>
        <v>5.0404570553471801</v>
      </c>
      <c r="K12" s="95">
        <f t="shared" si="4"/>
        <v>1.512137116604154</v>
      </c>
      <c r="L12" s="87">
        <f>Datos!$L$18*FGP!K12/100</f>
        <v>2753.4712675098576</v>
      </c>
      <c r="M12" s="96">
        <f t="shared" si="5"/>
        <v>16652.57584077094</v>
      </c>
      <c r="N12" s="95">
        <f t="shared" si="6"/>
        <v>9.1451755146397993</v>
      </c>
      <c r="O12" s="95">
        <f t="shared" si="7"/>
        <v>0.10934727260282516</v>
      </c>
      <c r="P12" s="95">
        <f t="shared" si="8"/>
        <v>1.5820027302455366</v>
      </c>
      <c r="Q12" s="95">
        <f t="shared" si="9"/>
        <v>0.15820027302455367</v>
      </c>
      <c r="R12" s="89">
        <f t="shared" si="10"/>
        <v>288.06905240416387</v>
      </c>
      <c r="S12" s="90">
        <f t="shared" si="11"/>
        <v>16940.644893175104</v>
      </c>
      <c r="T12" s="91" t="e">
        <f>#REF!+K12+E12</f>
        <v>#REF!</v>
      </c>
      <c r="U12" s="92"/>
      <c r="V12" s="93"/>
      <c r="W12" s="93"/>
    </row>
    <row r="13" spans="2:23" s="94" customFormat="1" ht="16.5" customHeight="1" x14ac:dyDescent="0.25">
      <c r="B13" s="80" t="s">
        <v>70</v>
      </c>
      <c r="C13" s="81">
        <v>75520</v>
      </c>
      <c r="D13" s="82">
        <f t="shared" si="0"/>
        <v>6.3943101477498834</v>
      </c>
      <c r="E13" s="83">
        <f t="shared" si="1"/>
        <v>3.8365860886499297</v>
      </c>
      <c r="F13" s="84">
        <f>Datos!$L$18*FGP!E13/100</f>
        <v>6986.0923618813758</v>
      </c>
      <c r="G13" s="85">
        <v>38608461</v>
      </c>
      <c r="H13" s="86">
        <v>23134391</v>
      </c>
      <c r="I13" s="82">
        <f t="shared" si="2"/>
        <v>0.59920521048482089</v>
      </c>
      <c r="J13" s="82">
        <f t="shared" si="3"/>
        <v>2.4418785556736839</v>
      </c>
      <c r="K13" s="95">
        <f t="shared" si="4"/>
        <v>0.73256356670210521</v>
      </c>
      <c r="L13" s="87">
        <f>Datos!$L$18*FGP!K13/100</f>
        <v>1333.9350713569054</v>
      </c>
      <c r="M13" s="96">
        <f t="shared" si="5"/>
        <v>8320.0274332382814</v>
      </c>
      <c r="N13" s="95">
        <f t="shared" si="6"/>
        <v>4.5691496553520352</v>
      </c>
      <c r="O13" s="95">
        <f t="shared" si="7"/>
        <v>0.21885910408486148</v>
      </c>
      <c r="P13" s="95">
        <f t="shared" si="8"/>
        <v>3.1663862477754878</v>
      </c>
      <c r="Q13" s="95">
        <f t="shared" si="9"/>
        <v>0.31663862477754878</v>
      </c>
      <c r="R13" s="89">
        <f t="shared" si="10"/>
        <v>576.57162563852933</v>
      </c>
      <c r="S13" s="90">
        <f t="shared" si="11"/>
        <v>8896.5990588768109</v>
      </c>
      <c r="T13" s="91" t="e">
        <f>#REF!+K13+E13</f>
        <v>#REF!</v>
      </c>
      <c r="U13" s="92"/>
      <c r="V13" s="93"/>
      <c r="W13" s="93"/>
    </row>
    <row r="14" spans="2:23" s="94" customFormat="1" ht="16.5" customHeight="1" x14ac:dyDescent="0.25">
      <c r="B14" s="80" t="s">
        <v>71</v>
      </c>
      <c r="C14" s="81">
        <v>42514</v>
      </c>
      <c r="D14" s="82">
        <f t="shared" si="0"/>
        <v>3.5996782524025233</v>
      </c>
      <c r="E14" s="83">
        <f t="shared" si="1"/>
        <v>2.1598069514415137</v>
      </c>
      <c r="F14" s="84">
        <f>Datos!$L$18*FGP!E14/100</f>
        <v>3932.8221752254344</v>
      </c>
      <c r="G14" s="85">
        <v>56558</v>
      </c>
      <c r="H14" s="86">
        <v>287635</v>
      </c>
      <c r="I14" s="82">
        <f t="shared" si="2"/>
        <v>5.0856642738427809</v>
      </c>
      <c r="J14" s="82">
        <f t="shared" si="3"/>
        <v>20.725077676818788</v>
      </c>
      <c r="K14" s="95">
        <f t="shared" si="4"/>
        <v>6.2175233030456365</v>
      </c>
      <c r="L14" s="87">
        <f>Datos!$L$18*FGP!K14/100</f>
        <v>11321.573673461216</v>
      </c>
      <c r="M14" s="96">
        <f t="shared" si="5"/>
        <v>15254.39584868665</v>
      </c>
      <c r="N14" s="95">
        <f t="shared" si="6"/>
        <v>8.3773302544871502</v>
      </c>
      <c r="O14" s="95">
        <f t="shared" si="7"/>
        <v>0.1193697717079221</v>
      </c>
      <c r="P14" s="95">
        <f t="shared" si="8"/>
        <v>1.7270051667099389</v>
      </c>
      <c r="Q14" s="95">
        <f t="shared" si="9"/>
        <v>0.1727005166709939</v>
      </c>
      <c r="R14" s="89">
        <f t="shared" si="10"/>
        <v>314.47274543831702</v>
      </c>
      <c r="S14" s="90">
        <f t="shared" si="11"/>
        <v>15568.868594124968</v>
      </c>
      <c r="T14" s="91" t="e">
        <f>#REF!+K14+E14</f>
        <v>#REF!</v>
      </c>
      <c r="U14" s="92"/>
      <c r="V14" s="93"/>
      <c r="W14" s="93"/>
    </row>
    <row r="15" spans="2:23" s="94" customFormat="1" ht="16.5" customHeight="1" x14ac:dyDescent="0.25">
      <c r="B15" s="80" t="s">
        <v>72</v>
      </c>
      <c r="C15" s="81">
        <v>12614</v>
      </c>
      <c r="D15" s="82">
        <f t="shared" si="0"/>
        <v>1.0680326827822699</v>
      </c>
      <c r="E15" s="83">
        <f t="shared" si="1"/>
        <v>0.64081960966936191</v>
      </c>
      <c r="F15" s="84">
        <f>Datos!$L$18*FGP!E15/100</f>
        <v>1166.8772385165739</v>
      </c>
      <c r="G15" s="85">
        <v>81890</v>
      </c>
      <c r="H15" s="86">
        <v>62501</v>
      </c>
      <c r="I15" s="82">
        <f t="shared" si="2"/>
        <v>0.76323116375625843</v>
      </c>
      <c r="J15" s="82">
        <f t="shared" si="3"/>
        <v>3.1103164311444003</v>
      </c>
      <c r="K15" s="95">
        <f t="shared" si="4"/>
        <v>0.93309492934332006</v>
      </c>
      <c r="L15" s="87">
        <f>Datos!$L$18*FGP!K15/100</f>
        <v>1699.0853868965298</v>
      </c>
      <c r="M15" s="96">
        <f t="shared" si="5"/>
        <v>2865.9626254131035</v>
      </c>
      <c r="N15" s="95">
        <f t="shared" si="6"/>
        <v>1.5739145390126819</v>
      </c>
      <c r="O15" s="95">
        <f t="shared" si="7"/>
        <v>0.63535851230353391</v>
      </c>
      <c r="P15" s="95">
        <f t="shared" si="8"/>
        <v>9.192171667599176</v>
      </c>
      <c r="Q15" s="95">
        <f t="shared" si="9"/>
        <v>0.9192171667599176</v>
      </c>
      <c r="R15" s="89">
        <f t="shared" si="10"/>
        <v>1673.815178189177</v>
      </c>
      <c r="S15" s="90">
        <f t="shared" si="11"/>
        <v>4539.777803602281</v>
      </c>
      <c r="T15" s="91" t="e">
        <f>#REF!+K15+E15</f>
        <v>#REF!</v>
      </c>
      <c r="U15" s="92"/>
      <c r="V15" s="93"/>
      <c r="W15" s="93"/>
    </row>
    <row r="16" spans="2:23" s="94" customFormat="1" ht="16.5" customHeight="1" x14ac:dyDescent="0.25">
      <c r="B16" s="80" t="s">
        <v>73</v>
      </c>
      <c r="C16" s="81">
        <v>29416</v>
      </c>
      <c r="D16" s="82">
        <f t="shared" si="0"/>
        <v>2.4906650861521529</v>
      </c>
      <c r="E16" s="83">
        <f t="shared" si="1"/>
        <v>1.4943990516912917</v>
      </c>
      <c r="F16" s="84">
        <f>Datos!$L$18*FGP!E16/100</f>
        <v>2721.171781211634</v>
      </c>
      <c r="G16" s="85">
        <v>9310961</v>
      </c>
      <c r="H16" s="86">
        <v>14390923</v>
      </c>
      <c r="I16" s="82">
        <f t="shared" si="2"/>
        <v>1.5455894402307131</v>
      </c>
      <c r="J16" s="82">
        <f t="shared" si="3"/>
        <v>6.2985795916584042</v>
      </c>
      <c r="K16" s="95">
        <f t="shared" si="4"/>
        <v>1.8895738774975213</v>
      </c>
      <c r="L16" s="87">
        <f>Datos!$L$18*FGP!K16/100</f>
        <v>3440.751055176052</v>
      </c>
      <c r="M16" s="96">
        <f t="shared" si="5"/>
        <v>6161.9228363876864</v>
      </c>
      <c r="N16" s="95">
        <f t="shared" si="6"/>
        <v>3.383972929188813</v>
      </c>
      <c r="O16" s="95">
        <f t="shared" si="7"/>
        <v>0.29551063821297008</v>
      </c>
      <c r="P16" s="95">
        <f t="shared" si="8"/>
        <v>4.2753570833685446</v>
      </c>
      <c r="Q16" s="95">
        <f t="shared" si="9"/>
        <v>0.4275357083368545</v>
      </c>
      <c r="R16" s="89">
        <f t="shared" si="10"/>
        <v>778.50564992656803</v>
      </c>
      <c r="S16" s="90">
        <f t="shared" si="11"/>
        <v>6940.4284863142548</v>
      </c>
      <c r="T16" s="91" t="e">
        <f>#REF!+K16+E16</f>
        <v>#REF!</v>
      </c>
      <c r="U16" s="92"/>
      <c r="V16" s="93"/>
      <c r="W16" s="93"/>
    </row>
    <row r="17" spans="2:23" s="94" customFormat="1" ht="16.5" customHeight="1" x14ac:dyDescent="0.25">
      <c r="B17" s="80" t="s">
        <v>74</v>
      </c>
      <c r="C17" s="81">
        <v>18580</v>
      </c>
      <c r="D17" s="82">
        <f t="shared" si="0"/>
        <v>1.5731764108208799</v>
      </c>
      <c r="E17" s="83">
        <f t="shared" si="1"/>
        <v>0.94390584649252784</v>
      </c>
      <c r="F17" s="84">
        <f>Datos!$L$18*FGP!E17/100</f>
        <v>1718.7711345836331</v>
      </c>
      <c r="G17" s="85">
        <v>3182383</v>
      </c>
      <c r="H17" s="86">
        <v>4206319</v>
      </c>
      <c r="I17" s="82">
        <f t="shared" si="2"/>
        <v>1.3217513416832607</v>
      </c>
      <c r="J17" s="82">
        <f t="shared" si="3"/>
        <v>5.3863955131128405</v>
      </c>
      <c r="K17" s="95">
        <f t="shared" si="4"/>
        <v>1.6159186539338521</v>
      </c>
      <c r="L17" s="87">
        <f>Datos!$L$18*FGP!K17/100</f>
        <v>2942.4484958296434</v>
      </c>
      <c r="M17" s="96">
        <f t="shared" si="5"/>
        <v>4661.2196304132767</v>
      </c>
      <c r="N17" s="95">
        <f t="shared" si="6"/>
        <v>2.5598245004263802</v>
      </c>
      <c r="O17" s="95">
        <f t="shared" si="7"/>
        <v>0.39065178094569913</v>
      </c>
      <c r="P17" s="95">
        <f t="shared" si="8"/>
        <v>5.6518298931528186</v>
      </c>
      <c r="Q17" s="95">
        <f t="shared" si="9"/>
        <v>0.56518298931528188</v>
      </c>
      <c r="R17" s="89">
        <f t="shared" si="10"/>
        <v>1029.1494765102998</v>
      </c>
      <c r="S17" s="90">
        <f t="shared" si="11"/>
        <v>5690.3691069235765</v>
      </c>
      <c r="T17" s="91" t="e">
        <f>#REF!+K17+E17</f>
        <v>#REF!</v>
      </c>
      <c r="U17" s="92"/>
      <c r="V17" s="93"/>
      <c r="W17" s="93"/>
    </row>
    <row r="18" spans="2:23" s="94" customFormat="1" ht="16.5" customHeight="1" x14ac:dyDescent="0.25">
      <c r="B18" s="80" t="s">
        <v>75</v>
      </c>
      <c r="C18" s="81">
        <v>14315</v>
      </c>
      <c r="D18" s="82">
        <f t="shared" si="0"/>
        <v>1.212057067863342</v>
      </c>
      <c r="E18" s="83">
        <f t="shared" si="1"/>
        <v>0.72723424071800513</v>
      </c>
      <c r="F18" s="84">
        <f>Datos!$L$18*FGP!E18/100</f>
        <v>1324.2308283942255</v>
      </c>
      <c r="G18" s="85">
        <v>581941</v>
      </c>
      <c r="H18" s="86">
        <v>619298</v>
      </c>
      <c r="I18" s="82">
        <f t="shared" si="2"/>
        <v>1.0641937928415424</v>
      </c>
      <c r="J18" s="82">
        <f t="shared" si="3"/>
        <v>4.3367980724303692</v>
      </c>
      <c r="K18" s="95">
        <f t="shared" si="4"/>
        <v>1.3010394217291108</v>
      </c>
      <c r="L18" s="87">
        <f>Datos!$L$18*FGP!K18/100</f>
        <v>2369.0805723185867</v>
      </c>
      <c r="M18" s="96">
        <f t="shared" si="5"/>
        <v>3693.3114007128124</v>
      </c>
      <c r="N18" s="95">
        <f t="shared" si="6"/>
        <v>2.0282736624471158</v>
      </c>
      <c r="O18" s="95">
        <f t="shared" si="7"/>
        <v>0.49303011645553696</v>
      </c>
      <c r="P18" s="95">
        <f t="shared" si="8"/>
        <v>7.1330081835601495</v>
      </c>
      <c r="Q18" s="95">
        <f t="shared" si="9"/>
        <v>0.713300818356015</v>
      </c>
      <c r="R18" s="89">
        <f t="shared" si="10"/>
        <v>1298.8592680307202</v>
      </c>
      <c r="S18" s="90">
        <f t="shared" si="11"/>
        <v>4992.1706687435326</v>
      </c>
      <c r="T18" s="91" t="e">
        <f>#REF!+K18+E18</f>
        <v>#REF!</v>
      </c>
      <c r="U18" s="92"/>
      <c r="V18" s="93"/>
      <c r="W18" s="93"/>
    </row>
    <row r="19" spans="2:23" s="94" customFormat="1" ht="16.5" customHeight="1" x14ac:dyDescent="0.25">
      <c r="B19" s="80" t="s">
        <v>76</v>
      </c>
      <c r="C19" s="81">
        <v>33901</v>
      </c>
      <c r="D19" s="82">
        <f t="shared" si="0"/>
        <v>2.8704119215951907</v>
      </c>
      <c r="E19" s="83">
        <f t="shared" si="1"/>
        <v>1.7222471529571144</v>
      </c>
      <c r="F19" s="84">
        <f>Datos!$L$18*FGP!E19/100</f>
        <v>3136.0635217179624</v>
      </c>
      <c r="G19" s="85">
        <v>2120104</v>
      </c>
      <c r="H19" s="86">
        <v>1819462</v>
      </c>
      <c r="I19" s="82">
        <f t="shared" si="2"/>
        <v>0.85819469233584766</v>
      </c>
      <c r="J19" s="82">
        <f t="shared" si="3"/>
        <v>3.4973114037381472</v>
      </c>
      <c r="K19" s="95">
        <f t="shared" si="4"/>
        <v>1.0491934211214442</v>
      </c>
      <c r="L19" s="87">
        <f>Datos!$L$18*FGP!K19/100</f>
        <v>1910.4907269295782</v>
      </c>
      <c r="M19" s="96">
        <f t="shared" si="5"/>
        <v>5046.5542486475406</v>
      </c>
      <c r="N19" s="95">
        <f t="shared" si="6"/>
        <v>2.7714405740785586</v>
      </c>
      <c r="O19" s="95">
        <f t="shared" si="7"/>
        <v>0.36082317959585963</v>
      </c>
      <c r="P19" s="95">
        <f t="shared" si="8"/>
        <v>5.220278857158962</v>
      </c>
      <c r="Q19" s="95">
        <f t="shared" si="9"/>
        <v>0.5220278857158962</v>
      </c>
      <c r="R19" s="89">
        <f t="shared" si="10"/>
        <v>950.56775498350396</v>
      </c>
      <c r="S19" s="90">
        <f t="shared" si="11"/>
        <v>5997.1220036310442</v>
      </c>
      <c r="T19" s="91" t="e">
        <f>#REF!+K19+E19</f>
        <v>#REF!</v>
      </c>
      <c r="U19" s="92"/>
      <c r="V19" s="93"/>
      <c r="W19" s="93"/>
    </row>
    <row r="20" spans="2:23" s="94" customFormat="1" ht="16.5" customHeight="1" x14ac:dyDescent="0.25">
      <c r="B20" s="80" t="s">
        <v>77</v>
      </c>
      <c r="C20" s="81">
        <v>24743</v>
      </c>
      <c r="D20" s="82">
        <f t="shared" si="0"/>
        <v>2.0950002116760511</v>
      </c>
      <c r="E20" s="83">
        <f t="shared" si="1"/>
        <v>1.2570001270056306</v>
      </c>
      <c r="F20" s="84">
        <f>Datos!$L$18*FGP!E20/100</f>
        <v>2288.8888150162988</v>
      </c>
      <c r="G20" s="85">
        <v>6139057</v>
      </c>
      <c r="H20" s="86">
        <v>1893758</v>
      </c>
      <c r="I20" s="82">
        <f t="shared" si="2"/>
        <v>0.30847701853884074</v>
      </c>
      <c r="J20" s="82">
        <f t="shared" si="3"/>
        <v>1.2571042496087079</v>
      </c>
      <c r="K20" s="95">
        <f t="shared" si="4"/>
        <v>0.37713127488261239</v>
      </c>
      <c r="L20" s="87">
        <f>Datos!$L$18*FGP!K20/100</f>
        <v>686.72352398877842</v>
      </c>
      <c r="M20" s="96">
        <f t="shared" si="5"/>
        <v>2975.612339005077</v>
      </c>
      <c r="N20" s="95">
        <f t="shared" si="6"/>
        <v>1.6341314018882429</v>
      </c>
      <c r="O20" s="95">
        <f t="shared" si="7"/>
        <v>0.61194589299520075</v>
      </c>
      <c r="P20" s="95">
        <f t="shared" si="8"/>
        <v>8.8534450877189812</v>
      </c>
      <c r="Q20" s="95">
        <f t="shared" si="9"/>
        <v>0.88534450877189819</v>
      </c>
      <c r="R20" s="89">
        <f t="shared" si="10"/>
        <v>1612.1359895097451</v>
      </c>
      <c r="S20" s="90">
        <f t="shared" si="11"/>
        <v>4587.7483285148219</v>
      </c>
      <c r="T20" s="91" t="e">
        <f>#REF!+K20+E20</f>
        <v>#REF!</v>
      </c>
      <c r="U20" s="92"/>
      <c r="V20" s="93"/>
      <c r="W20" s="93"/>
    </row>
    <row r="21" spans="2:23" s="94" customFormat="1" ht="16.5" customHeight="1" x14ac:dyDescent="0.25">
      <c r="B21" s="80" t="s">
        <v>78</v>
      </c>
      <c r="C21" s="81">
        <v>43979</v>
      </c>
      <c r="D21" s="82">
        <f t="shared" si="0"/>
        <v>3.7237204182718768</v>
      </c>
      <c r="E21" s="83">
        <f t="shared" si="1"/>
        <v>2.2342322509631258</v>
      </c>
      <c r="F21" s="84">
        <f>Datos!$L$18*FGP!E21/100</f>
        <v>4068.3442264722066</v>
      </c>
      <c r="G21" s="85">
        <v>4353377</v>
      </c>
      <c r="H21" s="86">
        <v>4000518</v>
      </c>
      <c r="I21" s="82">
        <f t="shared" si="2"/>
        <v>0.9189459125639704</v>
      </c>
      <c r="J21" s="82">
        <f t="shared" si="3"/>
        <v>3.7448845211114654</v>
      </c>
      <c r="K21" s="95">
        <f t="shared" si="4"/>
        <v>1.1234653563334396</v>
      </c>
      <c r="L21" s="87">
        <f>Datos!$L$18*FGP!K21/100</f>
        <v>2045.7335149962098</v>
      </c>
      <c r="M21" s="96">
        <f t="shared" si="5"/>
        <v>6114.0777414684162</v>
      </c>
      <c r="N21" s="95">
        <f t="shared" si="6"/>
        <v>3.3576976072965654</v>
      </c>
      <c r="O21" s="95">
        <f t="shared" si="7"/>
        <v>0.29782312672437034</v>
      </c>
      <c r="P21" s="95">
        <f t="shared" si="8"/>
        <v>4.3088134563682132</v>
      </c>
      <c r="Q21" s="95">
        <f t="shared" si="9"/>
        <v>0.43088134563682134</v>
      </c>
      <c r="R21" s="89">
        <f t="shared" si="10"/>
        <v>784.5977668885904</v>
      </c>
      <c r="S21" s="90">
        <f t="shared" si="11"/>
        <v>6898.6755083570069</v>
      </c>
      <c r="T21" s="91" t="e">
        <f>#REF!+K21+E21</f>
        <v>#REF!</v>
      </c>
      <c r="U21" s="92"/>
      <c r="V21" s="93"/>
      <c r="W21" s="93"/>
    </row>
    <row r="22" spans="2:23" s="94" customFormat="1" ht="16.5" customHeight="1" x14ac:dyDescent="0.25">
      <c r="B22" s="80" t="s">
        <v>79</v>
      </c>
      <c r="C22" s="81">
        <v>7499</v>
      </c>
      <c r="D22" s="82">
        <f t="shared" si="0"/>
        <v>0.63494348249439059</v>
      </c>
      <c r="E22" s="83">
        <f t="shared" si="1"/>
        <v>0.38096608949663435</v>
      </c>
      <c r="F22" s="84">
        <f>Datos!$L$18*FGP!E22/100</f>
        <v>693.70639064815202</v>
      </c>
      <c r="G22" s="85">
        <v>1276066</v>
      </c>
      <c r="H22" s="86">
        <v>1219342</v>
      </c>
      <c r="I22" s="82">
        <f t="shared" si="2"/>
        <v>0.95554775379956836</v>
      </c>
      <c r="J22" s="82">
        <f t="shared" si="3"/>
        <v>3.8940441906995584</v>
      </c>
      <c r="K22" s="95">
        <f t="shared" si="4"/>
        <v>1.1682132572098676</v>
      </c>
      <c r="L22" s="87">
        <f>Datos!$L$18*FGP!K22/100</f>
        <v>2127.2155829857347</v>
      </c>
      <c r="M22" s="96">
        <f t="shared" si="5"/>
        <v>2820.9219736338869</v>
      </c>
      <c r="N22" s="95">
        <f t="shared" si="6"/>
        <v>1.5491793467065018</v>
      </c>
      <c r="O22" s="95">
        <f t="shared" si="7"/>
        <v>0.64550305432741739</v>
      </c>
      <c r="P22" s="95">
        <f t="shared" si="8"/>
        <v>9.3389397835005834</v>
      </c>
      <c r="Q22" s="95">
        <f t="shared" si="9"/>
        <v>0.93389397835005838</v>
      </c>
      <c r="R22" s="89">
        <f t="shared" si="10"/>
        <v>1700.5403862198236</v>
      </c>
      <c r="S22" s="90">
        <f t="shared" si="11"/>
        <v>4521.462359853711</v>
      </c>
      <c r="T22" s="91" t="e">
        <f>#REF!+K22+E22</f>
        <v>#REF!</v>
      </c>
      <c r="U22" s="92"/>
      <c r="V22" s="93"/>
      <c r="W22" s="93"/>
    </row>
    <row r="23" spans="2:23" s="94" customFormat="1" ht="16.5" customHeight="1" x14ac:dyDescent="0.25">
      <c r="B23" s="80" t="s">
        <v>80</v>
      </c>
      <c r="C23" s="81">
        <v>23477</v>
      </c>
      <c r="D23" s="82">
        <f t="shared" si="0"/>
        <v>1.9878074594640365</v>
      </c>
      <c r="E23" s="83">
        <f t="shared" si="1"/>
        <v>1.1926844756784218</v>
      </c>
      <c r="F23" s="84">
        <f>Datos!$L$18*FGP!E23/100</f>
        <v>2171.7755611743792</v>
      </c>
      <c r="G23" s="85">
        <v>2538386</v>
      </c>
      <c r="H23" s="86">
        <v>4314653</v>
      </c>
      <c r="I23" s="82">
        <f t="shared" si="2"/>
        <v>1.699762368686244</v>
      </c>
      <c r="J23" s="82">
        <f t="shared" si="3"/>
        <v>6.9268644618055912</v>
      </c>
      <c r="K23" s="95">
        <f t="shared" si="4"/>
        <v>2.0780593385416775</v>
      </c>
      <c r="L23" s="87">
        <f>Datos!$L$18*FGP!K23/100</f>
        <v>3783.9668228664455</v>
      </c>
      <c r="M23" s="96">
        <f t="shared" si="5"/>
        <v>5955.7423840408246</v>
      </c>
      <c r="N23" s="95">
        <f t="shared" si="6"/>
        <v>3.2707438142200993</v>
      </c>
      <c r="O23" s="95">
        <f t="shared" si="7"/>
        <v>0.30574085186749717</v>
      </c>
      <c r="P23" s="95">
        <f t="shared" si="8"/>
        <v>4.4233646700894491</v>
      </c>
      <c r="Q23" s="95">
        <f t="shared" si="9"/>
        <v>0.44233646700894491</v>
      </c>
      <c r="R23" s="89">
        <f t="shared" si="10"/>
        <v>805.45655490300919</v>
      </c>
      <c r="S23" s="90">
        <f t="shared" si="11"/>
        <v>6761.198938943834</v>
      </c>
      <c r="T23" s="91" t="e">
        <f>#REF!+K23+E23</f>
        <v>#REF!</v>
      </c>
      <c r="U23" s="92"/>
      <c r="V23" s="93"/>
      <c r="W23" s="93"/>
    </row>
    <row r="24" spans="2:23" s="94" customFormat="1" ht="16.5" customHeight="1" x14ac:dyDescent="0.25">
      <c r="B24" s="80" t="s">
        <v>81</v>
      </c>
      <c r="C24" s="81">
        <v>97820</v>
      </c>
      <c r="D24" s="82">
        <f t="shared" si="0"/>
        <v>8.2824605224164927</v>
      </c>
      <c r="E24" s="83">
        <f t="shared" si="1"/>
        <v>4.9694763134498956</v>
      </c>
      <c r="F24" s="84">
        <f>Datos!$L$18*FGP!E24/100</f>
        <v>9048.9877494602242</v>
      </c>
      <c r="G24" s="85">
        <v>12549885</v>
      </c>
      <c r="H24" s="86">
        <v>15229971</v>
      </c>
      <c r="I24" s="82">
        <f t="shared" si="2"/>
        <v>1.2135546261977699</v>
      </c>
      <c r="J24" s="82">
        <f t="shared" si="3"/>
        <v>4.9454727128511768</v>
      </c>
      <c r="K24" s="95">
        <f t="shared" si="4"/>
        <v>1.4836418138553531</v>
      </c>
      <c r="L24" s="87">
        <f>Datos!$L$18*FGP!K24/100</f>
        <v>2701.5837789241527</v>
      </c>
      <c r="M24" s="96">
        <f t="shared" si="5"/>
        <v>11750.571528384377</v>
      </c>
      <c r="N24" s="95">
        <f t="shared" si="6"/>
        <v>6.4531181273052489</v>
      </c>
      <c r="O24" s="95">
        <f t="shared" si="7"/>
        <v>0.15496384542670522</v>
      </c>
      <c r="P24" s="95">
        <f t="shared" si="8"/>
        <v>2.2419692848201964</v>
      </c>
      <c r="Q24" s="95">
        <f t="shared" si="9"/>
        <v>0.22419692848201966</v>
      </c>
      <c r="R24" s="89">
        <f t="shared" si="10"/>
        <v>408.2432697806762</v>
      </c>
      <c r="S24" s="90">
        <f t="shared" si="11"/>
        <v>12158.814798165053</v>
      </c>
      <c r="T24" s="91" t="e">
        <f>#REF!+K24+E24</f>
        <v>#REF!</v>
      </c>
      <c r="U24" s="92"/>
      <c r="V24" s="93"/>
      <c r="W24" s="93"/>
    </row>
    <row r="25" spans="2:23" s="94" customFormat="1" ht="16.5" customHeight="1" x14ac:dyDescent="0.25">
      <c r="B25" s="80" t="s">
        <v>82</v>
      </c>
      <c r="C25" s="81">
        <v>39718</v>
      </c>
      <c r="D25" s="82">
        <f t="shared" si="0"/>
        <v>3.3629397569958934</v>
      </c>
      <c r="E25" s="83">
        <f t="shared" si="1"/>
        <v>2.0177638541975358</v>
      </c>
      <c r="F25" s="84">
        <f>Datos!$L$18*FGP!E25/100</f>
        <v>3674.173946361288</v>
      </c>
      <c r="G25" s="85">
        <v>12319331</v>
      </c>
      <c r="H25" s="86">
        <v>11548623</v>
      </c>
      <c r="I25" s="82">
        <f t="shared" si="2"/>
        <v>0.93743913529070699</v>
      </c>
      <c r="J25" s="82">
        <f t="shared" si="3"/>
        <v>3.8202480246517254</v>
      </c>
      <c r="K25" s="95">
        <f t="shared" si="4"/>
        <v>1.1460744073955176</v>
      </c>
      <c r="L25" s="87">
        <f>Datos!$L$18*FGP!K25/100</f>
        <v>2086.9026469495998</v>
      </c>
      <c r="M25" s="96">
        <f t="shared" si="5"/>
        <v>5761.0765933108878</v>
      </c>
      <c r="N25" s="95">
        <f t="shared" si="6"/>
        <v>3.1638382615930531</v>
      </c>
      <c r="O25" s="95">
        <f t="shared" si="7"/>
        <v>0.3160717828529202</v>
      </c>
      <c r="P25" s="95">
        <f t="shared" si="8"/>
        <v>4.5728294041965452</v>
      </c>
      <c r="Q25" s="95">
        <f t="shared" si="9"/>
        <v>0.45728294041965456</v>
      </c>
      <c r="R25" s="89">
        <f t="shared" si="10"/>
        <v>832.67279385057975</v>
      </c>
      <c r="S25" s="90">
        <f t="shared" si="11"/>
        <v>6593.7493871614679</v>
      </c>
      <c r="T25" s="91" t="e">
        <f>#REF!+K25+E25</f>
        <v>#REF!</v>
      </c>
      <c r="U25" s="92"/>
      <c r="V25" s="93"/>
      <c r="W25" s="93"/>
    </row>
    <row r="26" spans="2:23" s="94" customFormat="1" ht="16.5" customHeight="1" x14ac:dyDescent="0.25">
      <c r="B26" s="80" t="s">
        <v>83</v>
      </c>
      <c r="C26" s="81">
        <v>413608</v>
      </c>
      <c r="D26" s="82">
        <f t="shared" si="0"/>
        <v>35.020363236103471</v>
      </c>
      <c r="E26" s="83">
        <f t="shared" si="1"/>
        <v>21.012217941662083</v>
      </c>
      <c r="F26" s="84">
        <f>Datos!$L$18*FGP!E26/100</f>
        <v>38261.436567969184</v>
      </c>
      <c r="G26" s="85">
        <v>236317850</v>
      </c>
      <c r="H26" s="86">
        <v>186622629</v>
      </c>
      <c r="I26" s="82">
        <f t="shared" si="2"/>
        <v>0.78971025252641724</v>
      </c>
      <c r="J26" s="82">
        <f t="shared" si="3"/>
        <v>3.2182239024250903</v>
      </c>
      <c r="K26" s="95">
        <f t="shared" si="4"/>
        <v>0.96546717072752708</v>
      </c>
      <c r="L26" s="87">
        <f>Datos!$L$18*FGP!K26/100</f>
        <v>1758.0324463513516</v>
      </c>
      <c r="M26" s="96">
        <f t="shared" si="5"/>
        <v>40019.469014320537</v>
      </c>
      <c r="N26" s="95">
        <f t="shared" si="6"/>
        <v>21.977685112389612</v>
      </c>
      <c r="O26" s="95">
        <f t="shared" si="7"/>
        <v>4.550069740676483E-2</v>
      </c>
      <c r="P26" s="95">
        <f t="shared" si="8"/>
        <v>0.65829010465614668</v>
      </c>
      <c r="Q26" s="95">
        <f t="shared" si="9"/>
        <v>6.5829010465614665E-2</v>
      </c>
      <c r="R26" s="89">
        <f t="shared" si="10"/>
        <v>119.86895030573164</v>
      </c>
      <c r="S26" s="90">
        <f t="shared" si="11"/>
        <v>40139.337964626269</v>
      </c>
      <c r="T26" s="91" t="e">
        <f>#REF!+K26+E26</f>
        <v>#REF!</v>
      </c>
      <c r="U26" s="92"/>
      <c r="V26" s="93"/>
      <c r="W26" s="93"/>
    </row>
    <row r="27" spans="2:23" s="94" customFormat="1" ht="16.5" customHeight="1" x14ac:dyDescent="0.25">
      <c r="B27" s="80" t="s">
        <v>84</v>
      </c>
      <c r="C27" s="81">
        <v>30565</v>
      </c>
      <c r="D27" s="82">
        <f t="shared" si="0"/>
        <v>2.5879513991786967</v>
      </c>
      <c r="E27" s="83">
        <f t="shared" si="1"/>
        <v>1.5527708395072179</v>
      </c>
      <c r="F27" s="84">
        <f>Datos!$L$18*FGP!E27/100</f>
        <v>2827.4617722577364</v>
      </c>
      <c r="G27" s="85">
        <v>1516592</v>
      </c>
      <c r="H27" s="86">
        <v>1666341</v>
      </c>
      <c r="I27" s="82">
        <f t="shared" si="2"/>
        <v>1.0987404654646735</v>
      </c>
      <c r="J27" s="82">
        <f t="shared" si="3"/>
        <v>4.4775825275255574</v>
      </c>
      <c r="K27" s="95">
        <f t="shared" si="4"/>
        <v>1.3432747582576672</v>
      </c>
      <c r="L27" s="87">
        <f>Datos!$L$18*FGP!K27/100</f>
        <v>2445.9874773393121</v>
      </c>
      <c r="M27" s="96">
        <f t="shared" si="5"/>
        <v>5273.449249597048</v>
      </c>
      <c r="N27" s="95">
        <f t="shared" si="6"/>
        <v>2.8960455977648851</v>
      </c>
      <c r="O27" s="95">
        <f t="shared" si="7"/>
        <v>0.34529843065032595</v>
      </c>
      <c r="P27" s="95">
        <f t="shared" si="8"/>
        <v>4.995671561214607</v>
      </c>
      <c r="Q27" s="95">
        <f t="shared" si="9"/>
        <v>0.49956715612146074</v>
      </c>
      <c r="R27" s="89">
        <f t="shared" si="10"/>
        <v>909.6687036299644</v>
      </c>
      <c r="S27" s="90">
        <f t="shared" si="11"/>
        <v>6183.1179532270125</v>
      </c>
      <c r="T27" s="91" t="e">
        <f>#REF!+K27+E27</f>
        <v>#REF!</v>
      </c>
      <c r="U27" s="92"/>
      <c r="V27" s="93"/>
      <c r="W27" s="93"/>
    </row>
    <row r="28" spans="2:23" s="94" customFormat="1" ht="16.5" customHeight="1" thickBot="1" x14ac:dyDescent="0.3">
      <c r="B28" s="97" t="s">
        <v>85</v>
      </c>
      <c r="C28" s="98">
        <v>57418</v>
      </c>
      <c r="D28" s="99">
        <f t="shared" si="0"/>
        <v>4.8616061978747727</v>
      </c>
      <c r="E28" s="100">
        <f t="shared" si="1"/>
        <v>2.9169637187248636</v>
      </c>
      <c r="F28" s="101">
        <f>Datos!$L$18*FGP!E28/100</f>
        <v>5311.5393436772365</v>
      </c>
      <c r="G28" s="102">
        <v>27689428</v>
      </c>
      <c r="H28" s="103">
        <v>28960943</v>
      </c>
      <c r="I28" s="104">
        <f t="shared" si="2"/>
        <v>1.0459205946760619</v>
      </c>
      <c r="J28" s="99">
        <f t="shared" si="3"/>
        <v>4.2623312120575108</v>
      </c>
      <c r="K28" s="104">
        <f t="shared" si="4"/>
        <v>1.2786993636172532</v>
      </c>
      <c r="L28" s="105">
        <f>Datos!$L$18*FGP!K28/100</f>
        <v>2328.401253326906</v>
      </c>
      <c r="M28" s="106">
        <f t="shared" si="5"/>
        <v>7639.9405970041425</v>
      </c>
      <c r="N28" s="104">
        <f t="shared" si="6"/>
        <v>4.1956630823421168</v>
      </c>
      <c r="O28" s="104">
        <f t="shared" si="7"/>
        <v>0.23834134923955255</v>
      </c>
      <c r="P28" s="104">
        <f t="shared" si="8"/>
        <v>3.4482493824691449</v>
      </c>
      <c r="Q28" s="104">
        <f t="shared" si="9"/>
        <v>0.34482493824691451</v>
      </c>
      <c r="R28" s="107">
        <f t="shared" si="10"/>
        <v>627.89647139670751</v>
      </c>
      <c r="S28" s="90">
        <f t="shared" si="11"/>
        <v>8267.8370684008496</v>
      </c>
      <c r="T28" s="91" t="e">
        <f>#REF!+K28+E28</f>
        <v>#REF!</v>
      </c>
      <c r="U28" s="92"/>
      <c r="V28" s="93"/>
      <c r="W28" s="93"/>
    </row>
    <row r="29" spans="2:23" s="94" customFormat="1" ht="16.5" customHeight="1" thickBot="1" x14ac:dyDescent="0.3">
      <c r="B29" s="108" t="s">
        <v>86</v>
      </c>
      <c r="C29" s="109">
        <f>SUM(C9:C28)</f>
        <v>1181050</v>
      </c>
      <c r="D29" s="110">
        <f>SUM(D9:D28)</f>
        <v>100.00000000000001</v>
      </c>
      <c r="E29" s="113">
        <f t="shared" ref="E29:L29" si="12">SUM(E9:E28)</f>
        <v>59.999999999999993</v>
      </c>
      <c r="F29" s="111">
        <f t="shared" si="12"/>
        <v>109254.82500000001</v>
      </c>
      <c r="G29" s="111">
        <f t="shared" si="12"/>
        <v>549299824.15999997</v>
      </c>
      <c r="H29" s="111">
        <f t="shared" si="12"/>
        <v>531897076</v>
      </c>
      <c r="I29" s="112">
        <f t="shared" si="12"/>
        <v>24.538698253136822</v>
      </c>
      <c r="J29" s="113">
        <f t="shared" si="12"/>
        <v>99.999999999999972</v>
      </c>
      <c r="K29" s="113">
        <f t="shared" si="12"/>
        <v>30.000000000000004</v>
      </c>
      <c r="L29" s="114">
        <f t="shared" si="12"/>
        <v>54627.412500000013</v>
      </c>
      <c r="M29" s="115">
        <f t="shared" si="5"/>
        <v>163882.23750000002</v>
      </c>
      <c r="N29" s="116">
        <f t="shared" ref="N29:S29" si="13">SUM(N9:N28)</f>
        <v>90</v>
      </c>
      <c r="O29" s="116">
        <f t="shared" si="13"/>
        <v>6.9119522054082534</v>
      </c>
      <c r="P29" s="116">
        <f t="shared" si="13"/>
        <v>99.999999999999986</v>
      </c>
      <c r="Q29" s="116">
        <f t="shared" si="13"/>
        <v>10</v>
      </c>
      <c r="R29" s="117">
        <f>Datos!L17</f>
        <v>18209.137500000001</v>
      </c>
      <c r="S29" s="115">
        <f t="shared" si="13"/>
        <v>182091.375</v>
      </c>
      <c r="T29" s="91" t="e">
        <f>#REF!+K29+E29</f>
        <v>#REF!</v>
      </c>
      <c r="U29" s="92"/>
      <c r="V29" s="93"/>
      <c r="W29" s="93"/>
    </row>
    <row r="30" spans="2:23" s="94" customFormat="1" ht="21.75" customHeight="1" x14ac:dyDescent="0.25">
      <c r="B30" s="118" t="s">
        <v>87</v>
      </c>
      <c r="C30" s="119"/>
      <c r="D30" s="120"/>
      <c r="E30" s="121"/>
      <c r="F30" s="122"/>
      <c r="G30" s="122"/>
      <c r="H30" s="122"/>
      <c r="I30" s="120"/>
      <c r="J30" s="123"/>
      <c r="K30" s="121"/>
      <c r="L30" s="119"/>
      <c r="M30" s="124"/>
      <c r="N30" s="123"/>
      <c r="O30" s="123"/>
      <c r="P30" s="123"/>
      <c r="Q30" s="123"/>
      <c r="R30" s="119"/>
      <c r="S30" s="124"/>
    </row>
    <row r="31" spans="2:23" s="94" customFormat="1" ht="23.25" customHeight="1" x14ac:dyDescent="0.25">
      <c r="B31" s="125" t="s">
        <v>228</v>
      </c>
      <c r="C31" s="125"/>
      <c r="D31" s="125"/>
      <c r="E31" s="125"/>
      <c r="F31" s="125"/>
      <c r="G31" s="125"/>
      <c r="H31" s="125"/>
      <c r="I31" s="125"/>
      <c r="J31" s="125"/>
      <c r="K31" s="125"/>
      <c r="L31" s="125"/>
      <c r="M31" s="125"/>
      <c r="N31" s="125"/>
      <c r="O31" s="125"/>
      <c r="P31" s="125"/>
      <c r="Q31" s="125"/>
      <c r="R31" s="125"/>
      <c r="S31" s="125"/>
    </row>
    <row r="32" spans="2:23" x14ac:dyDescent="0.25">
      <c r="C32" s="358"/>
      <c r="D32" s="358"/>
      <c r="E32" s="358"/>
      <c r="F32" s="358"/>
      <c r="G32" s="358"/>
      <c r="H32" s="358"/>
      <c r="I32" s="358"/>
      <c r="J32" s="358"/>
      <c r="K32" s="358"/>
      <c r="L32" s="358"/>
      <c r="M32" s="358"/>
      <c r="N32" s="358"/>
      <c r="O32" s="358"/>
      <c r="P32" s="358"/>
      <c r="Q32" s="358"/>
      <c r="R32" s="358"/>
      <c r="S32" s="358"/>
    </row>
    <row r="33" spans="3:19" x14ac:dyDescent="0.25">
      <c r="C33" s="358"/>
      <c r="D33" s="358"/>
      <c r="E33" s="358"/>
      <c r="F33" s="358"/>
      <c r="G33" s="358"/>
      <c r="H33" s="358"/>
      <c r="I33" s="358"/>
      <c r="J33" s="358"/>
      <c r="K33" s="358"/>
      <c r="L33" s="358"/>
      <c r="M33" s="358"/>
      <c r="N33" s="358"/>
      <c r="O33" s="358"/>
      <c r="P33" s="358"/>
      <c r="Q33" s="358"/>
      <c r="R33" s="358"/>
      <c r="S33" s="358"/>
    </row>
    <row r="34" spans="3:19" x14ac:dyDescent="0.25">
      <c r="C34" s="351"/>
      <c r="D34" s="351"/>
      <c r="E34" s="351"/>
      <c r="F34" s="351"/>
      <c r="G34" s="351"/>
      <c r="H34" s="351"/>
      <c r="I34" s="351"/>
      <c r="J34" s="351"/>
      <c r="K34" s="351"/>
      <c r="L34" s="351"/>
      <c r="M34" s="351"/>
      <c r="N34" s="351"/>
      <c r="O34" s="351"/>
      <c r="P34" s="351"/>
      <c r="Q34" s="351"/>
      <c r="R34" s="351"/>
      <c r="S34" s="351"/>
    </row>
    <row r="35" spans="3:19" x14ac:dyDescent="0.25">
      <c r="R35" s="126"/>
    </row>
  </sheetData>
  <mergeCells count="22">
    <mergeCell ref="C34:S34"/>
    <mergeCell ref="J5:J7"/>
    <mergeCell ref="L5:L7"/>
    <mergeCell ref="M5:M7"/>
    <mergeCell ref="N5:N7"/>
    <mergeCell ref="O5:O7"/>
    <mergeCell ref="P5:P8"/>
    <mergeCell ref="Q5:Q7"/>
    <mergeCell ref="R5:R7"/>
    <mergeCell ref="S5:S7"/>
    <mergeCell ref="C32:S32"/>
    <mergeCell ref="C33:S33"/>
    <mergeCell ref="B2:S2"/>
    <mergeCell ref="B4:B8"/>
    <mergeCell ref="C4:F4"/>
    <mergeCell ref="G4:L4"/>
    <mergeCell ref="M4:R4"/>
    <mergeCell ref="T4:T8"/>
    <mergeCell ref="D5:D6"/>
    <mergeCell ref="F5:F7"/>
    <mergeCell ref="G5:H6"/>
    <mergeCell ref="I5:I7"/>
  </mergeCells>
  <pageMargins left="1.05" right="0.17" top="0.74803149606299213" bottom="0.74803149606299213" header="0.31496062992125984" footer="0.31496062992125984"/>
  <pageSetup paperSize="5"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A1:Z59"/>
  <sheetViews>
    <sheetView zoomScale="80" zoomScaleNormal="80" workbookViewId="0">
      <selection activeCell="A2" sqref="A2:I2"/>
    </sheetView>
  </sheetViews>
  <sheetFormatPr baseColWidth="10" defaultRowHeight="15" x14ac:dyDescent="0.2"/>
  <cols>
    <col min="1" max="1" width="18.77734375" customWidth="1"/>
    <col min="2" max="2" width="11.88671875" bestFit="1" customWidth="1"/>
    <col min="3" max="3" width="10.21875" customWidth="1"/>
    <col min="4" max="5" width="11.88671875" bestFit="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62"/>
      <c r="B1" s="362"/>
      <c r="C1" s="362"/>
      <c r="D1" s="362"/>
      <c r="E1" s="362"/>
      <c r="F1" s="362"/>
      <c r="G1" s="362"/>
      <c r="H1" s="362"/>
      <c r="I1" s="362"/>
      <c r="J1" s="65"/>
      <c r="K1" s="65"/>
      <c r="L1" s="65"/>
      <c r="M1" s="65"/>
      <c r="N1" s="65"/>
      <c r="O1" s="65"/>
      <c r="P1" s="65"/>
      <c r="Q1" s="65"/>
      <c r="R1" s="65"/>
      <c r="S1" s="65"/>
      <c r="T1" s="65"/>
      <c r="U1" s="65"/>
      <c r="V1" s="65"/>
      <c r="W1" s="65"/>
      <c r="X1" s="65"/>
      <c r="Y1" s="65"/>
      <c r="Z1" s="65"/>
    </row>
    <row r="2" spans="1:26" ht="15" customHeight="1" thickBot="1" x14ac:dyDescent="0.3">
      <c r="A2" s="363" t="s">
        <v>218</v>
      </c>
      <c r="B2" s="363"/>
      <c r="C2" s="363"/>
      <c r="D2" s="363"/>
      <c r="E2" s="363"/>
      <c r="F2" s="363"/>
      <c r="G2" s="363"/>
      <c r="H2" s="363"/>
      <c r="I2" s="363"/>
      <c r="J2" s="65"/>
      <c r="K2" s="65"/>
      <c r="L2" s="65"/>
      <c r="M2" s="65"/>
      <c r="N2" s="65"/>
      <c r="O2" s="65"/>
      <c r="P2" s="65"/>
      <c r="Q2" s="65"/>
      <c r="R2" s="65"/>
      <c r="S2" s="65"/>
      <c r="T2" s="65"/>
      <c r="U2" s="65"/>
      <c r="V2" s="65"/>
      <c r="W2" s="65"/>
      <c r="X2" s="65"/>
      <c r="Y2" s="65"/>
      <c r="Z2" s="65"/>
    </row>
    <row r="3" spans="1:26" ht="15" customHeight="1" thickBot="1" x14ac:dyDescent="0.3">
      <c r="A3" s="364" t="s">
        <v>88</v>
      </c>
      <c r="B3" s="345" t="s">
        <v>37</v>
      </c>
      <c r="C3" s="346"/>
      <c r="D3" s="347"/>
      <c r="E3" s="345" t="s">
        <v>38</v>
      </c>
      <c r="F3" s="346"/>
      <c r="G3" s="346"/>
      <c r="H3" s="347"/>
      <c r="I3" s="127"/>
      <c r="J3" s="65"/>
      <c r="K3" s="65"/>
      <c r="L3" s="65"/>
      <c r="M3" s="65"/>
      <c r="N3" s="65"/>
      <c r="O3" s="65"/>
      <c r="P3" s="65"/>
      <c r="Q3" s="65"/>
      <c r="R3" s="65"/>
      <c r="S3" s="65"/>
      <c r="T3" s="65"/>
      <c r="U3" s="65"/>
      <c r="V3" s="65"/>
      <c r="W3" s="65"/>
      <c r="X3" s="65"/>
      <c r="Y3" s="65"/>
      <c r="Z3" s="65"/>
    </row>
    <row r="4" spans="1:26" ht="15" customHeight="1" x14ac:dyDescent="0.25">
      <c r="A4" s="365"/>
      <c r="B4" s="128" t="s">
        <v>48</v>
      </c>
      <c r="C4" s="129" t="s">
        <v>49</v>
      </c>
      <c r="D4" s="130" t="s">
        <v>202</v>
      </c>
      <c r="E4" s="367" t="s">
        <v>200</v>
      </c>
      <c r="F4" s="368"/>
      <c r="G4" s="131" t="s">
        <v>237</v>
      </c>
      <c r="H4" s="369" t="s">
        <v>223</v>
      </c>
      <c r="I4" s="132" t="s">
        <v>89</v>
      </c>
      <c r="J4" s="65"/>
      <c r="K4" s="65"/>
      <c r="L4" s="65"/>
      <c r="M4" s="65"/>
      <c r="N4" s="65"/>
      <c r="O4" s="65"/>
      <c r="P4" s="65"/>
      <c r="Q4" s="65"/>
      <c r="R4" s="65"/>
      <c r="S4" s="65"/>
      <c r="T4" s="65"/>
      <c r="U4" s="65"/>
      <c r="V4" s="65"/>
      <c r="W4" s="65"/>
      <c r="X4" s="65"/>
      <c r="Y4" s="65"/>
      <c r="Z4" s="65"/>
    </row>
    <row r="5" spans="1:26" ht="16.5" thickBot="1" x14ac:dyDescent="0.3">
      <c r="A5" s="365"/>
      <c r="B5" s="128" t="s">
        <v>90</v>
      </c>
      <c r="C5" s="133" t="s">
        <v>91</v>
      </c>
      <c r="D5" s="134" t="s">
        <v>201</v>
      </c>
      <c r="E5" s="372">
        <v>2016</v>
      </c>
      <c r="F5" s="373"/>
      <c r="G5" s="134" t="s">
        <v>199</v>
      </c>
      <c r="H5" s="370"/>
      <c r="I5" s="135" t="s">
        <v>92</v>
      </c>
      <c r="J5" s="65"/>
      <c r="K5" s="65"/>
      <c r="L5" s="65"/>
      <c r="M5" s="65"/>
      <c r="N5" s="65"/>
      <c r="O5" s="65"/>
      <c r="P5" s="65"/>
      <c r="Q5" s="65"/>
      <c r="R5" s="65"/>
      <c r="S5" s="65"/>
      <c r="T5" s="65"/>
      <c r="U5" s="65"/>
      <c r="V5" s="65"/>
      <c r="W5" s="65"/>
      <c r="X5" s="65"/>
      <c r="Y5" s="65"/>
      <c r="Z5" s="65"/>
    </row>
    <row r="6" spans="1:26" ht="16.5" thickBot="1" x14ac:dyDescent="0.3">
      <c r="A6" s="365"/>
      <c r="B6" s="136" t="s">
        <v>203</v>
      </c>
      <c r="C6" s="137"/>
      <c r="D6" s="138" t="s">
        <v>93</v>
      </c>
      <c r="E6" s="139" t="s">
        <v>48</v>
      </c>
      <c r="F6" s="140" t="s">
        <v>49</v>
      </c>
      <c r="G6" s="138" t="s">
        <v>93</v>
      </c>
      <c r="H6" s="371"/>
      <c r="I6" s="136" t="s">
        <v>94</v>
      </c>
      <c r="J6" s="65"/>
      <c r="K6" s="65"/>
      <c r="L6" s="65"/>
      <c r="M6" s="65"/>
      <c r="N6" s="65"/>
      <c r="O6" s="65"/>
      <c r="P6" s="65"/>
      <c r="Q6" s="65"/>
      <c r="R6" s="65"/>
      <c r="S6" s="65"/>
      <c r="T6" s="65"/>
      <c r="U6" s="65"/>
      <c r="V6" s="65"/>
      <c r="W6" s="65"/>
      <c r="X6" s="65"/>
      <c r="Y6" s="65"/>
      <c r="Z6" s="65"/>
    </row>
    <row r="7" spans="1:26" ht="16.5" thickBot="1" x14ac:dyDescent="0.3">
      <c r="A7" s="366"/>
      <c r="B7" s="141" t="s">
        <v>50</v>
      </c>
      <c r="C7" s="142" t="s">
        <v>95</v>
      </c>
      <c r="D7" s="143" t="s">
        <v>96</v>
      </c>
      <c r="E7" s="144" t="s">
        <v>53</v>
      </c>
      <c r="F7" s="145" t="s">
        <v>54</v>
      </c>
      <c r="G7" s="143" t="s">
        <v>97</v>
      </c>
      <c r="H7" s="143" t="s">
        <v>98</v>
      </c>
      <c r="I7" s="146" t="s">
        <v>99</v>
      </c>
      <c r="J7" s="65"/>
      <c r="K7" s="65" t="s">
        <v>100</v>
      </c>
      <c r="L7" s="65" t="s">
        <v>101</v>
      </c>
      <c r="M7" s="65" t="s">
        <v>102</v>
      </c>
      <c r="N7" s="65" t="s">
        <v>100</v>
      </c>
      <c r="O7" s="65" t="s">
        <v>101</v>
      </c>
      <c r="P7" s="65" t="s">
        <v>102</v>
      </c>
      <c r="Q7" s="147" t="s">
        <v>103</v>
      </c>
      <c r="R7" s="147" t="s">
        <v>104</v>
      </c>
      <c r="S7" s="147" t="s">
        <v>105</v>
      </c>
      <c r="T7" s="147" t="s">
        <v>104</v>
      </c>
      <c r="U7" s="65"/>
      <c r="V7" s="65"/>
      <c r="W7" s="65"/>
      <c r="X7" s="65"/>
      <c r="Y7" s="65"/>
      <c r="Z7" s="65"/>
    </row>
    <row r="8" spans="1:26" ht="25.5" customHeight="1" x14ac:dyDescent="0.25">
      <c r="A8" s="148" t="s">
        <v>66</v>
      </c>
      <c r="B8" s="149">
        <f>'CENSO (2)'!C10</f>
        <v>37309</v>
      </c>
      <c r="C8" s="150">
        <f t="shared" ref="C8:C28" si="0">B8/B$28*100</f>
        <v>3.1589687142796663</v>
      </c>
      <c r="D8" s="151">
        <f>Datos!$L$27*FFM!C8/100</f>
        <v>1324.2870695567501</v>
      </c>
      <c r="E8" s="152">
        <v>9587479</v>
      </c>
      <c r="F8" s="153">
        <f>E8/E$28*100</f>
        <v>1.8025064307742125</v>
      </c>
      <c r="G8" s="152">
        <f>Datos!$L$28*FFM!F8/100</f>
        <v>755.63773337701127</v>
      </c>
      <c r="H8" s="154">
        <f>D8+G8</f>
        <v>2079.9248029337614</v>
      </c>
      <c r="I8" s="155" t="e">
        <f>D8+G8+#REF!</f>
        <v>#REF!</v>
      </c>
      <c r="J8" s="156">
        <f t="shared" ref="J8:J27" si="1">C8+F8</f>
        <v>4.9614751450538783</v>
      </c>
      <c r="K8" s="156">
        <f>J8/2</f>
        <v>2.4807375725269392</v>
      </c>
      <c r="L8" s="156">
        <f>2.480738</f>
        <v>2.4807380000000001</v>
      </c>
      <c r="M8" s="157">
        <f>K8-L8</f>
        <v>-4.274730609488131E-7</v>
      </c>
      <c r="N8" s="156" t="e">
        <f>#REF!</f>
        <v>#REF!</v>
      </c>
      <c r="O8" s="65"/>
      <c r="P8" s="156" t="e">
        <f>N8-O8</f>
        <v>#REF!</v>
      </c>
      <c r="Q8" s="147">
        <v>3.3898570000000001</v>
      </c>
      <c r="R8" s="158">
        <f>K8-Q8</f>
        <v>-0.90911942747306096</v>
      </c>
      <c r="S8" s="147"/>
      <c r="T8" s="147"/>
      <c r="U8" s="65"/>
      <c r="V8" s="65"/>
      <c r="W8" s="65"/>
      <c r="X8" s="65"/>
      <c r="Y8" s="156"/>
      <c r="Z8" s="156"/>
    </row>
    <row r="9" spans="1:26" ht="25.5" customHeight="1" x14ac:dyDescent="0.25">
      <c r="A9" s="148" t="s">
        <v>67</v>
      </c>
      <c r="B9" s="149">
        <f>'CENSO (2)'!C11</f>
        <v>15953</v>
      </c>
      <c r="C9" s="150">
        <f t="shared" si="0"/>
        <v>1.3507472164599297</v>
      </c>
      <c r="D9" s="151">
        <f>Datos!$L$27*FFM!C9/100</f>
        <v>566.25349434824932</v>
      </c>
      <c r="E9" s="152">
        <v>4153474</v>
      </c>
      <c r="F9" s="153">
        <f t="shared" ref="F9:F27" si="2">E9/E$28*100</f>
        <v>0.78087926920658612</v>
      </c>
      <c r="G9" s="152">
        <f>Datos!$L$28*FFM!F9/100</f>
        <v>327.35630284043896</v>
      </c>
      <c r="H9" s="154">
        <f t="shared" ref="H9:H27" si="3">D9+G9</f>
        <v>893.60979718868828</v>
      </c>
      <c r="I9" s="155" t="e">
        <f>D9+G9+#REF!</f>
        <v>#REF!</v>
      </c>
      <c r="J9" s="156">
        <f t="shared" si="1"/>
        <v>2.1316264856665157</v>
      </c>
      <c r="K9" s="156">
        <f t="shared" ref="K9:K28" si="4">J9/2</f>
        <v>1.0658132428332578</v>
      </c>
      <c r="L9" s="156">
        <v>1.0658129999999999</v>
      </c>
      <c r="M9" s="157">
        <f t="shared" ref="M9:M27" si="5">K9-L9</f>
        <v>2.4283325794627331E-7</v>
      </c>
      <c r="N9" s="156" t="e">
        <f>#REF!</f>
        <v>#REF!</v>
      </c>
      <c r="O9" s="65"/>
      <c r="P9" s="156" t="e">
        <f t="shared" ref="P9:P27" si="6">N9-O9</f>
        <v>#REF!</v>
      </c>
      <c r="Q9" s="147">
        <v>1.4561059999999999</v>
      </c>
      <c r="R9" s="158">
        <f t="shared" ref="R9:R27" si="7">K9-Q9</f>
        <v>-0.39029275716674205</v>
      </c>
      <c r="S9" s="147"/>
      <c r="T9" s="147"/>
      <c r="U9" s="65"/>
      <c r="V9" s="65"/>
      <c r="W9" s="65"/>
      <c r="X9" s="65"/>
      <c r="Y9" s="156"/>
      <c r="Z9" s="156"/>
    </row>
    <row r="10" spans="1:26" ht="25.5" customHeight="1" x14ac:dyDescent="0.25">
      <c r="A10" s="148" t="s">
        <v>68</v>
      </c>
      <c r="B10" s="149">
        <f>'CENSO (2)'!C12</f>
        <v>11851</v>
      </c>
      <c r="C10" s="150">
        <f t="shared" si="0"/>
        <v>1.0034291520257399</v>
      </c>
      <c r="D10" s="151">
        <f>Datos!$L$27*FFM!C10/100</f>
        <v>420.65255196647047</v>
      </c>
      <c r="E10" s="152">
        <v>3784530</v>
      </c>
      <c r="F10" s="153">
        <f t="shared" si="2"/>
        <v>0.71151547371920498</v>
      </c>
      <c r="G10" s="152">
        <f>Datos!$L$28*FFM!F10/100</f>
        <v>298.27795931519648</v>
      </c>
      <c r="H10" s="154">
        <f t="shared" si="3"/>
        <v>718.9305112816669</v>
      </c>
      <c r="I10" s="155" t="e">
        <f>D10+G10+#REF!</f>
        <v>#REF!</v>
      </c>
      <c r="J10" s="156">
        <f t="shared" si="1"/>
        <v>1.7149446257449448</v>
      </c>
      <c r="K10" s="156">
        <f t="shared" si="4"/>
        <v>0.85747231287247239</v>
      </c>
      <c r="L10" s="156">
        <v>0.85747200000000001</v>
      </c>
      <c r="M10" s="157">
        <f t="shared" si="5"/>
        <v>3.1287247237443694E-7</v>
      </c>
      <c r="N10" s="156" t="e">
        <f>#REF!</f>
        <v>#REF!</v>
      </c>
      <c r="O10" s="65"/>
      <c r="P10" s="156" t="e">
        <f t="shared" si="6"/>
        <v>#REF!</v>
      </c>
      <c r="Q10" s="147">
        <v>1.167629</v>
      </c>
      <c r="R10" s="158">
        <f t="shared" si="7"/>
        <v>-0.31015668712752764</v>
      </c>
      <c r="S10" s="147"/>
      <c r="T10" s="147"/>
      <c r="U10" s="65"/>
      <c r="V10" s="65"/>
      <c r="W10" s="65"/>
      <c r="X10" s="65"/>
      <c r="Y10" s="156"/>
      <c r="Z10" s="156"/>
    </row>
    <row r="11" spans="1:26" ht="25.5" customHeight="1" x14ac:dyDescent="0.25">
      <c r="A11" s="148" t="s">
        <v>69</v>
      </c>
      <c r="B11" s="149">
        <f>'CENSO (2)'!C13</f>
        <v>150250</v>
      </c>
      <c r="C11" s="150">
        <f t="shared" si="0"/>
        <v>12.721730663392744</v>
      </c>
      <c r="D11" s="151">
        <f>Datos!$L$27*FFM!C11/100</f>
        <v>5333.1403200541881</v>
      </c>
      <c r="E11" s="152">
        <v>214394286</v>
      </c>
      <c r="F11" s="153">
        <f t="shared" si="2"/>
        <v>40.307475952358871</v>
      </c>
      <c r="G11" s="152">
        <f>Datos!$L$28*FFM!F11/100</f>
        <v>16897.498531368121</v>
      </c>
      <c r="H11" s="154">
        <f t="shared" si="3"/>
        <v>22230.638851422307</v>
      </c>
      <c r="I11" s="155" t="e">
        <f>D11+G11+#REF!</f>
        <v>#REF!</v>
      </c>
      <c r="J11" s="156">
        <f t="shared" si="1"/>
        <v>53.029206615751619</v>
      </c>
      <c r="K11" s="156">
        <f t="shared" si="4"/>
        <v>26.514603307875809</v>
      </c>
      <c r="L11" s="156">
        <v>26.514603000000001</v>
      </c>
      <c r="M11" s="157">
        <f t="shared" si="5"/>
        <v>3.0787580840296869E-7</v>
      </c>
      <c r="N11" s="156" t="e">
        <f>#REF!</f>
        <v>#REF!</v>
      </c>
      <c r="O11" s="65"/>
      <c r="P11" s="156" t="e">
        <f t="shared" si="6"/>
        <v>#REF!</v>
      </c>
      <c r="Q11" s="147">
        <v>39.874909000000002</v>
      </c>
      <c r="R11" s="158">
        <f t="shared" si="7"/>
        <v>-13.360305692124193</v>
      </c>
      <c r="S11" s="147"/>
      <c r="T11" s="147"/>
      <c r="U11" s="65"/>
      <c r="V11" s="65"/>
      <c r="W11" s="65"/>
      <c r="X11" s="65"/>
      <c r="Y11" s="156"/>
      <c r="Z11" s="156"/>
    </row>
    <row r="12" spans="1:26" ht="25.5" customHeight="1" x14ac:dyDescent="0.25">
      <c r="A12" s="148" t="s">
        <v>70</v>
      </c>
      <c r="B12" s="149">
        <f>'CENSO (2)'!C14</f>
        <v>75520</v>
      </c>
      <c r="C12" s="150">
        <f t="shared" si="0"/>
        <v>6.3943101477498834</v>
      </c>
      <c r="D12" s="151">
        <f>Datos!$L$27*FFM!C12/100</f>
        <v>2680.5907285889671</v>
      </c>
      <c r="E12" s="152">
        <v>23134391</v>
      </c>
      <c r="F12" s="153">
        <f t="shared" si="2"/>
        <v>4.3494112007489205</v>
      </c>
      <c r="G12" s="152">
        <f>Datos!$L$28*FFM!F12/100</f>
        <v>1823.3384165219584</v>
      </c>
      <c r="H12" s="154">
        <f t="shared" si="3"/>
        <v>4503.9291451109257</v>
      </c>
      <c r="I12" s="155" t="e">
        <f>D12+G12+#REF!</f>
        <v>#REF!</v>
      </c>
      <c r="J12" s="156">
        <f t="shared" si="1"/>
        <v>10.743721348498804</v>
      </c>
      <c r="K12" s="156">
        <f t="shared" si="4"/>
        <v>5.3718606742494019</v>
      </c>
      <c r="L12" s="156">
        <v>5.371861</v>
      </c>
      <c r="M12" s="157">
        <f t="shared" si="5"/>
        <v>-3.2575059805139972E-7</v>
      </c>
      <c r="N12" s="156" t="e">
        <f>#REF!</f>
        <v>#REF!</v>
      </c>
      <c r="O12" s="65"/>
      <c r="P12" s="156" t="e">
        <f t="shared" si="6"/>
        <v>#REF!</v>
      </c>
      <c r="Q12" s="147">
        <v>7.3199050000000003</v>
      </c>
      <c r="R12" s="158">
        <f t="shared" si="7"/>
        <v>-1.9480443257505984</v>
      </c>
      <c r="S12" s="147"/>
      <c r="T12" s="147"/>
      <c r="U12" s="65"/>
      <c r="V12" s="65"/>
      <c r="W12" s="65"/>
      <c r="X12" s="65"/>
      <c r="Y12" s="156"/>
      <c r="Z12" s="156"/>
    </row>
    <row r="13" spans="1:26" s="94" customFormat="1" ht="25.5" customHeight="1" x14ac:dyDescent="0.25">
      <c r="A13" s="148" t="s">
        <v>71</v>
      </c>
      <c r="B13" s="149">
        <f>'CENSO (2)'!C15</f>
        <v>42514</v>
      </c>
      <c r="C13" s="150">
        <f t="shared" si="0"/>
        <v>3.5996782524025233</v>
      </c>
      <c r="D13" s="151">
        <f>Datos!$L$27*FFM!C13/100</f>
        <v>1509.0391185809235</v>
      </c>
      <c r="E13" s="152">
        <v>287635</v>
      </c>
      <c r="F13" s="153">
        <f t="shared" si="2"/>
        <v>5.4077191430170597E-2</v>
      </c>
      <c r="G13" s="152">
        <f>Datos!$L$28*FFM!F13/100</f>
        <v>22.669969805398964</v>
      </c>
      <c r="H13" s="154">
        <f t="shared" si="3"/>
        <v>1531.7090883863225</v>
      </c>
      <c r="I13" s="159" t="e">
        <f>D13+G13+#REF!</f>
        <v>#REF!</v>
      </c>
      <c r="J13" s="93">
        <f t="shared" si="1"/>
        <v>3.653755443832694</v>
      </c>
      <c r="K13" s="93">
        <f t="shared" si="4"/>
        <v>1.826877721916347</v>
      </c>
      <c r="L13" s="93">
        <v>1.826878</v>
      </c>
      <c r="M13" s="160">
        <f t="shared" si="5"/>
        <v>-2.7808365299364368E-7</v>
      </c>
      <c r="N13" s="93" t="e">
        <f>#REF!</f>
        <v>#REF!</v>
      </c>
      <c r="O13" s="94">
        <v>0.35585699999999998</v>
      </c>
      <c r="P13" s="93" t="e">
        <f t="shared" si="6"/>
        <v>#REF!</v>
      </c>
      <c r="Q13" s="161">
        <v>2.5551330000000001</v>
      </c>
      <c r="R13" s="162">
        <f t="shared" si="7"/>
        <v>-0.72825527808365309</v>
      </c>
      <c r="S13" s="161">
        <v>16.147120999999999</v>
      </c>
      <c r="T13" s="161">
        <f>O13-S13</f>
        <v>-15.791263999999998</v>
      </c>
      <c r="Y13" s="156"/>
      <c r="Z13" s="156"/>
    </row>
    <row r="14" spans="1:26" s="94" customFormat="1" ht="25.5" customHeight="1" x14ac:dyDescent="0.25">
      <c r="A14" s="148" t="s">
        <v>72</v>
      </c>
      <c r="B14" s="149">
        <f>'CENSO (2)'!C16</f>
        <v>12614</v>
      </c>
      <c r="C14" s="150">
        <f t="shared" si="0"/>
        <v>1.0680326827822699</v>
      </c>
      <c r="D14" s="151">
        <f>Datos!$L$27*FFM!C14/100</f>
        <v>447.73532111256924</v>
      </c>
      <c r="E14" s="152">
        <v>62501</v>
      </c>
      <c r="F14" s="153">
        <f t="shared" si="2"/>
        <v>1.1750581610642281E-2</v>
      </c>
      <c r="G14" s="152">
        <f>Datos!$L$28*FFM!F14/100</f>
        <v>4.9260200699054026</v>
      </c>
      <c r="H14" s="154">
        <f t="shared" si="3"/>
        <v>452.66134118247464</v>
      </c>
      <c r="I14" s="159" t="e">
        <f>D14+G14+#REF!</f>
        <v>#REF!</v>
      </c>
      <c r="J14" s="93">
        <f t="shared" si="1"/>
        <v>1.0797832643929122</v>
      </c>
      <c r="K14" s="93">
        <f t="shared" si="4"/>
        <v>0.53989163219645608</v>
      </c>
      <c r="L14" s="93">
        <v>0.53989200000000004</v>
      </c>
      <c r="M14" s="160">
        <f t="shared" si="5"/>
        <v>-3.6780354395471448E-7</v>
      </c>
      <c r="N14" s="93" t="e">
        <f>#REF!</f>
        <v>#REF!</v>
      </c>
      <c r="O14" s="94">
        <v>0.19699800000000001</v>
      </c>
      <c r="P14" s="93" t="e">
        <f t="shared" si="6"/>
        <v>#REF!</v>
      </c>
      <c r="Q14" s="161">
        <v>0.75530600000000003</v>
      </c>
      <c r="R14" s="162">
        <f t="shared" si="7"/>
        <v>-0.21541436780354395</v>
      </c>
      <c r="S14" s="161">
        <v>4.7731430000000001</v>
      </c>
      <c r="T14" s="161">
        <f t="shared" ref="T14:T26" si="8">O14-S14</f>
        <v>-4.5761450000000004</v>
      </c>
      <c r="Y14" s="156"/>
      <c r="Z14" s="156"/>
    </row>
    <row r="15" spans="1:26" s="94" customFormat="1" ht="25.5" customHeight="1" x14ac:dyDescent="0.25">
      <c r="A15" s="148" t="s">
        <v>73</v>
      </c>
      <c r="B15" s="149">
        <f>'CENSO (2)'!C17</f>
        <v>29416</v>
      </c>
      <c r="C15" s="150">
        <f t="shared" si="0"/>
        <v>2.4906650861521529</v>
      </c>
      <c r="D15" s="151">
        <f>Datos!$L$27*FFM!C15/100</f>
        <v>1044.1241640912747</v>
      </c>
      <c r="E15" s="152">
        <v>14390923</v>
      </c>
      <c r="F15" s="153">
        <f t="shared" si="2"/>
        <v>2.7055841532770524</v>
      </c>
      <c r="G15" s="152">
        <f>Datos!$L$28*FFM!F15/100</f>
        <v>1134.2214608160393</v>
      </c>
      <c r="H15" s="154">
        <f t="shared" si="3"/>
        <v>2178.3456249073142</v>
      </c>
      <c r="I15" s="155" t="e">
        <f>D15+G15+#REF!</f>
        <v>#REF!</v>
      </c>
      <c r="J15" s="93">
        <f t="shared" si="1"/>
        <v>5.1962492394292052</v>
      </c>
      <c r="K15" s="93">
        <f t="shared" si="4"/>
        <v>2.5981246197146026</v>
      </c>
      <c r="L15" s="93">
        <v>2.598125</v>
      </c>
      <c r="M15" s="160">
        <f t="shared" si="5"/>
        <v>-3.802853973944309E-7</v>
      </c>
      <c r="N15" s="93" t="e">
        <f>#REF!</f>
        <v>#REF!</v>
      </c>
      <c r="P15" s="93" t="e">
        <f t="shared" si="6"/>
        <v>#REF!</v>
      </c>
      <c r="Q15" s="161">
        <v>3.512527</v>
      </c>
      <c r="R15" s="162">
        <f t="shared" si="7"/>
        <v>-0.91440238028539733</v>
      </c>
      <c r="S15" s="161"/>
      <c r="T15" s="161">
        <f t="shared" si="8"/>
        <v>0</v>
      </c>
      <c r="Y15" s="93"/>
      <c r="Z15" s="156"/>
    </row>
    <row r="16" spans="1:26" s="94" customFormat="1" ht="25.5" customHeight="1" x14ac:dyDescent="0.25">
      <c r="A16" s="148" t="s">
        <v>74</v>
      </c>
      <c r="B16" s="149">
        <f>'CENSO (2)'!C18</f>
        <v>18580</v>
      </c>
      <c r="C16" s="150">
        <f t="shared" si="0"/>
        <v>1.5731764108208799</v>
      </c>
      <c r="D16" s="151">
        <f>Datos!$L$27*FFM!C16/100</f>
        <v>659.49914906227514</v>
      </c>
      <c r="E16" s="152">
        <v>4206319</v>
      </c>
      <c r="F16" s="153">
        <f t="shared" si="2"/>
        <v>0.79081446200693162</v>
      </c>
      <c r="G16" s="152">
        <f>Datos!$L$28*FFM!F16/100</f>
        <v>331.52128469023575</v>
      </c>
      <c r="H16" s="154">
        <f t="shared" si="3"/>
        <v>991.02043375251083</v>
      </c>
      <c r="I16" s="155" t="e">
        <f>D16+G16+#REF!</f>
        <v>#REF!</v>
      </c>
      <c r="J16" s="93">
        <f t="shared" si="1"/>
        <v>2.3639908728278116</v>
      </c>
      <c r="K16" s="93">
        <f t="shared" si="4"/>
        <v>1.1819954364139058</v>
      </c>
      <c r="L16" s="93">
        <v>1.1819949999999999</v>
      </c>
      <c r="M16" s="160">
        <f t="shared" si="5"/>
        <v>4.3641390590209994E-7</v>
      </c>
      <c r="N16" s="93" t="e">
        <f>#REF!</f>
        <v>#REF!</v>
      </c>
      <c r="P16" s="93" t="e">
        <f t="shared" si="6"/>
        <v>#REF!</v>
      </c>
      <c r="Q16" s="161">
        <v>1.6183019999999999</v>
      </c>
      <c r="R16" s="162">
        <f t="shared" si="7"/>
        <v>-0.4363065635860941</v>
      </c>
      <c r="S16" s="161"/>
      <c r="T16" s="161">
        <f t="shared" si="8"/>
        <v>0</v>
      </c>
      <c r="Y16" s="156"/>
      <c r="Z16" s="156"/>
    </row>
    <row r="17" spans="1:26" s="94" customFormat="1" ht="25.5" customHeight="1" x14ac:dyDescent="0.25">
      <c r="A17" s="148" t="s">
        <v>75</v>
      </c>
      <c r="B17" s="149">
        <f>'CENSO (2)'!C19</f>
        <v>14315</v>
      </c>
      <c r="C17" s="150">
        <f t="shared" si="0"/>
        <v>1.212057067863342</v>
      </c>
      <c r="D17" s="151">
        <f>Datos!$L$27*FFM!C17/100</f>
        <v>508.11250370433083</v>
      </c>
      <c r="E17" s="152">
        <v>619298</v>
      </c>
      <c r="F17" s="153">
        <f t="shared" si="2"/>
        <v>0.11643192413413456</v>
      </c>
      <c r="G17" s="152">
        <f>Datos!$L$28*FFM!F17/100</f>
        <v>48.810009075891209</v>
      </c>
      <c r="H17" s="154">
        <f t="shared" si="3"/>
        <v>556.92251278022206</v>
      </c>
      <c r="I17" s="155" t="e">
        <f>D17+G17+#REF!</f>
        <v>#REF!</v>
      </c>
      <c r="J17" s="93">
        <f t="shared" si="1"/>
        <v>1.3284889919974765</v>
      </c>
      <c r="K17" s="93">
        <f t="shared" si="4"/>
        <v>0.66424449599873825</v>
      </c>
      <c r="L17" s="93">
        <v>0.66424499999999997</v>
      </c>
      <c r="M17" s="160">
        <v>9.9999999999999995E-7</v>
      </c>
      <c r="N17" s="93" t="e">
        <f>#REF!</f>
        <v>#REF!</v>
      </c>
      <c r="P17" s="93" t="e">
        <f t="shared" si="6"/>
        <v>#REF!</v>
      </c>
      <c r="Q17" s="161">
        <v>0.92457</v>
      </c>
      <c r="R17" s="162">
        <f t="shared" si="7"/>
        <v>-0.26032550400126175</v>
      </c>
      <c r="S17" s="161"/>
      <c r="T17" s="161">
        <f t="shared" si="8"/>
        <v>0</v>
      </c>
      <c r="Y17" s="156"/>
      <c r="Z17" s="156"/>
    </row>
    <row r="18" spans="1:26" s="94" customFormat="1" ht="25.5" customHeight="1" x14ac:dyDescent="0.25">
      <c r="A18" s="148" t="s">
        <v>76</v>
      </c>
      <c r="B18" s="149">
        <f>'CENSO (2)'!C20</f>
        <v>33901</v>
      </c>
      <c r="C18" s="150">
        <f t="shared" si="0"/>
        <v>2.8704119215951907</v>
      </c>
      <c r="D18" s="151">
        <f>Datos!$L$27*FFM!C18/100</f>
        <v>1203.3197337115278</v>
      </c>
      <c r="E18" s="152">
        <v>1819462</v>
      </c>
      <c r="F18" s="153">
        <f t="shared" si="2"/>
        <v>0.34207031437036889</v>
      </c>
      <c r="G18" s="152">
        <f>Datos!$L$28*FFM!F18/100</f>
        <v>143.40100683877418</v>
      </c>
      <c r="H18" s="154">
        <f t="shared" si="3"/>
        <v>1346.720740550302</v>
      </c>
      <c r="I18" s="159" t="e">
        <f>D18+G18+#REF!</f>
        <v>#REF!</v>
      </c>
      <c r="J18" s="93">
        <f t="shared" si="1"/>
        <v>3.2124822359655596</v>
      </c>
      <c r="K18" s="93">
        <f t="shared" si="4"/>
        <v>1.6062411179827798</v>
      </c>
      <c r="L18" s="93">
        <v>1.606241</v>
      </c>
      <c r="M18" s="160">
        <f t="shared" si="5"/>
        <v>1.1798277976815541E-7</v>
      </c>
      <c r="N18" s="93" t="e">
        <f>#REF!</f>
        <v>#REF!</v>
      </c>
      <c r="O18" s="94">
        <v>16.427489000000001</v>
      </c>
      <c r="P18" s="93" t="e">
        <f t="shared" si="6"/>
        <v>#REF!</v>
      </c>
      <c r="Q18" s="161">
        <v>2.2329530000000002</v>
      </c>
      <c r="R18" s="162">
        <f t="shared" si="7"/>
        <v>-0.62671188201722039</v>
      </c>
      <c r="S18" s="161">
        <v>14.111107000000001</v>
      </c>
      <c r="T18" s="161">
        <f t="shared" si="8"/>
        <v>2.3163820000000008</v>
      </c>
      <c r="Y18" s="156"/>
      <c r="Z18" s="156"/>
    </row>
    <row r="19" spans="1:26" s="94" customFormat="1" ht="25.5" customHeight="1" x14ac:dyDescent="0.25">
      <c r="A19" s="148" t="s">
        <v>77</v>
      </c>
      <c r="B19" s="149">
        <f>'CENSO (2)'!C21</f>
        <v>24743</v>
      </c>
      <c r="C19" s="150">
        <f t="shared" si="0"/>
        <v>2.0950002116760511</v>
      </c>
      <c r="D19" s="151">
        <f>Datos!$L$27*FFM!C19/100</f>
        <v>878.25551373777557</v>
      </c>
      <c r="E19" s="152">
        <v>1893758</v>
      </c>
      <c r="F19" s="153">
        <f t="shared" si="2"/>
        <v>0.35603843026202314</v>
      </c>
      <c r="G19" s="152">
        <f>Datos!$L$28*FFM!F19/100</f>
        <v>149.25665054229401</v>
      </c>
      <c r="H19" s="154">
        <f t="shared" si="3"/>
        <v>1027.5121642800696</v>
      </c>
      <c r="I19" s="155" t="e">
        <f>D19+G19+#REF!</f>
        <v>#REF!</v>
      </c>
      <c r="J19" s="93">
        <f t="shared" si="1"/>
        <v>2.4510386419380743</v>
      </c>
      <c r="K19" s="93">
        <f t="shared" si="4"/>
        <v>1.2255193209690372</v>
      </c>
      <c r="L19" s="93">
        <v>1.225519</v>
      </c>
      <c r="M19" s="160">
        <f t="shared" si="5"/>
        <v>3.2096903712641733E-7</v>
      </c>
      <c r="N19" s="93" t="e">
        <f>#REF!</f>
        <v>#REF!</v>
      </c>
      <c r="P19" s="93" t="e">
        <f t="shared" si="6"/>
        <v>#REF!</v>
      </c>
      <c r="Q19" s="161">
        <v>1.699298</v>
      </c>
      <c r="R19" s="162">
        <f t="shared" si="7"/>
        <v>-0.47377867903096282</v>
      </c>
      <c r="S19" s="161"/>
      <c r="T19" s="161">
        <f t="shared" si="8"/>
        <v>0</v>
      </c>
      <c r="Y19" s="156"/>
      <c r="Z19" s="156"/>
    </row>
    <row r="20" spans="1:26" s="94" customFormat="1" ht="25.5" customHeight="1" x14ac:dyDescent="0.25">
      <c r="A20" s="148" t="s">
        <v>78</v>
      </c>
      <c r="B20" s="149">
        <f>'CENSO (2)'!C22</f>
        <v>43979</v>
      </c>
      <c r="C20" s="150">
        <f t="shared" si="0"/>
        <v>3.7237204182718768</v>
      </c>
      <c r="D20" s="151">
        <f>Datos!$L$27*FFM!C20/100</f>
        <v>1561.0394551458446</v>
      </c>
      <c r="E20" s="152">
        <v>4000518</v>
      </c>
      <c r="F20" s="153">
        <f t="shared" si="2"/>
        <v>0.75212257794024795</v>
      </c>
      <c r="G20" s="152">
        <f>Datos!$L$28*FFM!F20/100</f>
        <v>315.30106651122099</v>
      </c>
      <c r="H20" s="154">
        <f t="shared" si="3"/>
        <v>1876.3405216570657</v>
      </c>
      <c r="I20" s="155" t="e">
        <f>D20+G20+#REF!</f>
        <v>#REF!</v>
      </c>
      <c r="J20" s="93">
        <f t="shared" si="1"/>
        <v>4.4758429962121244</v>
      </c>
      <c r="K20" s="93">
        <f t="shared" si="4"/>
        <v>2.2379214981060622</v>
      </c>
      <c r="L20" s="93">
        <v>2.2379220000000002</v>
      </c>
      <c r="M20" s="160">
        <f t="shared" si="5"/>
        <v>-5.0189393796529203E-7</v>
      </c>
      <c r="N20" s="93" t="e">
        <f>#REF!</f>
        <v>#REF!</v>
      </c>
      <c r="P20" s="93" t="e">
        <f t="shared" si="6"/>
        <v>#REF!</v>
      </c>
      <c r="Q20" s="161">
        <v>3.0983839999999998</v>
      </c>
      <c r="R20" s="162">
        <f t="shared" si="7"/>
        <v>-0.86046250189393758</v>
      </c>
      <c r="S20" s="161"/>
      <c r="T20" s="161">
        <f t="shared" si="8"/>
        <v>0</v>
      </c>
      <c r="Y20" s="156"/>
      <c r="Z20" s="156"/>
    </row>
    <row r="21" spans="1:26" s="94" customFormat="1" ht="25.5" customHeight="1" x14ac:dyDescent="0.25">
      <c r="A21" s="148" t="s">
        <v>79</v>
      </c>
      <c r="B21" s="149">
        <f>'CENSO (2)'!C23</f>
        <v>7499</v>
      </c>
      <c r="C21" s="150">
        <f t="shared" si="0"/>
        <v>0.63494348249439059</v>
      </c>
      <c r="D21" s="151">
        <f>Datos!$L$27*FFM!C21/100</f>
        <v>266.1778320138859</v>
      </c>
      <c r="E21" s="152">
        <v>1219342</v>
      </c>
      <c r="F21" s="153">
        <f t="shared" si="2"/>
        <v>0.22924397501294028</v>
      </c>
      <c r="G21" s="152">
        <f>Datos!$L$28*FFM!F21/100</f>
        <v>96.102512985049742</v>
      </c>
      <c r="H21" s="154">
        <f t="shared" si="3"/>
        <v>362.28034499893567</v>
      </c>
      <c r="I21" s="159" t="e">
        <f>D21+G21+#REF!</f>
        <v>#REF!</v>
      </c>
      <c r="J21" s="93">
        <f t="shared" si="1"/>
        <v>0.86418745750733084</v>
      </c>
      <c r="K21" s="93">
        <f t="shared" si="4"/>
        <v>0.43209372875366542</v>
      </c>
      <c r="L21" s="93">
        <v>0.43209399999999998</v>
      </c>
      <c r="M21" s="160">
        <f t="shared" si="5"/>
        <v>-2.7124633455999358E-7</v>
      </c>
      <c r="N21" s="93" t="e">
        <f>#REF!</f>
        <v>#REF!</v>
      </c>
      <c r="O21" s="94">
        <v>11.183956</v>
      </c>
      <c r="P21" s="93" t="e">
        <f t="shared" si="6"/>
        <v>#REF!</v>
      </c>
      <c r="Q21" s="161">
        <v>0.59435300000000002</v>
      </c>
      <c r="R21" s="162">
        <f t="shared" si="7"/>
        <v>-0.1622592712463346</v>
      </c>
      <c r="S21" s="161">
        <v>3.7560030000000002</v>
      </c>
      <c r="T21" s="161">
        <f t="shared" si="8"/>
        <v>7.4279530000000005</v>
      </c>
      <c r="Y21" s="156"/>
      <c r="Z21" s="156"/>
    </row>
    <row r="22" spans="1:26" s="94" customFormat="1" ht="25.5" customHeight="1" x14ac:dyDescent="0.25">
      <c r="A22" s="148" t="s">
        <v>80</v>
      </c>
      <c r="B22" s="149">
        <f>'CENSO (2)'!C24</f>
        <v>23477</v>
      </c>
      <c r="C22" s="150">
        <f t="shared" si="0"/>
        <v>1.9878074594640365</v>
      </c>
      <c r="D22" s="151">
        <f>Datos!$L$27*FFM!C22/100</f>
        <v>833.31870411921579</v>
      </c>
      <c r="E22" s="152">
        <v>4314653</v>
      </c>
      <c r="F22" s="153">
        <f t="shared" si="2"/>
        <v>0.81118193625866075</v>
      </c>
      <c r="G22" s="152">
        <f>Datos!$L$28*FFM!F22/100</f>
        <v>340.05963540867447</v>
      </c>
      <c r="H22" s="154">
        <f t="shared" si="3"/>
        <v>1173.3783395278901</v>
      </c>
      <c r="I22" s="155" t="e">
        <f>D22+G22+#REF!</f>
        <v>#REF!</v>
      </c>
      <c r="J22" s="93">
        <f t="shared" si="1"/>
        <v>2.798989395722697</v>
      </c>
      <c r="K22" s="93">
        <f t="shared" si="4"/>
        <v>1.3994946978613485</v>
      </c>
      <c r="L22" s="93">
        <v>1.3994949999999999</v>
      </c>
      <c r="M22" s="160">
        <f t="shared" si="5"/>
        <v>-3.0213865143124963E-7</v>
      </c>
      <c r="N22" s="93" t="e">
        <f>#REF!</f>
        <v>#REF!</v>
      </c>
      <c r="P22" s="93" t="e">
        <f t="shared" si="6"/>
        <v>#REF!</v>
      </c>
      <c r="Q22" s="161">
        <v>1.921861</v>
      </c>
      <c r="R22" s="162">
        <f t="shared" si="7"/>
        <v>-0.52236630213865154</v>
      </c>
      <c r="S22" s="161"/>
      <c r="T22" s="161">
        <f t="shared" si="8"/>
        <v>0</v>
      </c>
      <c r="Y22" s="156"/>
      <c r="Z22" s="156"/>
    </row>
    <row r="23" spans="1:26" s="94" customFormat="1" ht="25.5" customHeight="1" x14ac:dyDescent="0.25">
      <c r="A23" s="148" t="s">
        <v>81</v>
      </c>
      <c r="B23" s="149">
        <f>'CENSO (2)'!C25</f>
        <v>97820</v>
      </c>
      <c r="C23" s="150">
        <f t="shared" si="0"/>
        <v>8.2824605224164927</v>
      </c>
      <c r="D23" s="151">
        <f>Datos!$L$27*FFM!C23/100</f>
        <v>3472.1316879048291</v>
      </c>
      <c r="E23" s="152">
        <v>15229971</v>
      </c>
      <c r="F23" s="153">
        <f t="shared" si="2"/>
        <v>2.8633304613240629</v>
      </c>
      <c r="G23" s="152">
        <f>Datos!$L$28*FFM!F23/100</f>
        <v>1200.3510793439668</v>
      </c>
      <c r="H23" s="154">
        <f t="shared" si="3"/>
        <v>4672.4827672487954</v>
      </c>
      <c r="I23" s="159" t="e">
        <f>D23+G23+#REF!</f>
        <v>#REF!</v>
      </c>
      <c r="J23" s="93">
        <f t="shared" si="1"/>
        <v>11.145790983740556</v>
      </c>
      <c r="K23" s="93">
        <f t="shared" si="4"/>
        <v>5.5728954918702778</v>
      </c>
      <c r="L23" s="93">
        <v>5.5728949999999999</v>
      </c>
      <c r="M23" s="160">
        <f t="shared" si="5"/>
        <v>4.9187027784114434E-7</v>
      </c>
      <c r="N23" s="93" t="e">
        <f>#REF!</f>
        <v>#REF!</v>
      </c>
      <c r="O23" s="94">
        <v>59.916367999999999</v>
      </c>
      <c r="P23" s="93" t="e">
        <f t="shared" si="6"/>
        <v>#REF!</v>
      </c>
      <c r="Q23" s="161">
        <v>7.6699279999999996</v>
      </c>
      <c r="R23" s="162">
        <f t="shared" si="7"/>
        <v>-2.0970325081297219</v>
      </c>
      <c r="S23" s="161">
        <v>48.469971999999999</v>
      </c>
      <c r="T23" s="161">
        <f t="shared" si="8"/>
        <v>11.446396</v>
      </c>
      <c r="Y23" s="156"/>
      <c r="Z23" s="156"/>
    </row>
    <row r="24" spans="1:26" s="94" customFormat="1" ht="25.5" customHeight="1" x14ac:dyDescent="0.25">
      <c r="A24" s="148" t="s">
        <v>82</v>
      </c>
      <c r="B24" s="149">
        <f>'CENSO (2)'!C26</f>
        <v>39718</v>
      </c>
      <c r="C24" s="150">
        <f t="shared" si="0"/>
        <v>3.3629397569958934</v>
      </c>
      <c r="D24" s="151">
        <f>Datos!$L$27*FFM!C24/100</f>
        <v>1409.7947902290332</v>
      </c>
      <c r="E24" s="152">
        <v>11548623</v>
      </c>
      <c r="F24" s="153">
        <f t="shared" si="2"/>
        <v>2.1712138534109933</v>
      </c>
      <c r="G24" s="152">
        <f>Datos!$L$28*FFM!F24/100</f>
        <v>910.20541555768943</v>
      </c>
      <c r="H24" s="154">
        <f t="shared" si="3"/>
        <v>2320.0002057867227</v>
      </c>
      <c r="I24" s="155" t="e">
        <f>D24+G24+#REF!</f>
        <v>#REF!</v>
      </c>
      <c r="J24" s="93">
        <f t="shared" si="1"/>
        <v>5.5341536104068867</v>
      </c>
      <c r="K24" s="93">
        <f t="shared" si="4"/>
        <v>2.7670768052034433</v>
      </c>
      <c r="L24" s="93">
        <v>2.767077</v>
      </c>
      <c r="M24" s="160">
        <f t="shared" si="5"/>
        <v>-1.9479655666287954E-7</v>
      </c>
      <c r="N24" s="93" t="e">
        <f>#REF!</f>
        <v>#REF!</v>
      </c>
      <c r="P24" s="93" t="e">
        <f t="shared" si="6"/>
        <v>#REF!</v>
      </c>
      <c r="Q24" s="161">
        <v>3.7737189999999998</v>
      </c>
      <c r="R24" s="162">
        <f t="shared" si="7"/>
        <v>-1.0066421947965565</v>
      </c>
      <c r="S24" s="161"/>
      <c r="T24" s="161">
        <f t="shared" si="8"/>
        <v>0</v>
      </c>
      <c r="Y24" s="156"/>
      <c r="Z24" s="156"/>
    </row>
    <row r="25" spans="1:26" s="94" customFormat="1" ht="25.5" customHeight="1" x14ac:dyDescent="0.25">
      <c r="A25" s="148" t="s">
        <v>83</v>
      </c>
      <c r="B25" s="149">
        <f>'CENSO (2)'!C27</f>
        <v>413608</v>
      </c>
      <c r="C25" s="150">
        <f t="shared" si="0"/>
        <v>35.020363236103471</v>
      </c>
      <c r="D25" s="151">
        <f>Datos!$L$27*FFM!C25/100</f>
        <v>14681.061574023115</v>
      </c>
      <c r="E25" s="152">
        <v>186622629</v>
      </c>
      <c r="F25" s="153">
        <f t="shared" si="2"/>
        <v>35.086229539641238</v>
      </c>
      <c r="G25" s="152">
        <f>Datos!$L$28*FFM!F25/100</f>
        <v>14708.673716460698</v>
      </c>
      <c r="H25" s="154">
        <f t="shared" si="3"/>
        <v>29389.735290483812</v>
      </c>
      <c r="I25" s="155" t="e">
        <f>D25+G25+#REF!</f>
        <v>#REF!</v>
      </c>
      <c r="J25" s="93">
        <f t="shared" si="1"/>
        <v>70.106592775744701</v>
      </c>
      <c r="K25" s="93">
        <f t="shared" si="4"/>
        <v>35.053296387872351</v>
      </c>
      <c r="L25" s="93">
        <v>35.053296000000003</v>
      </c>
      <c r="M25" s="160">
        <f t="shared" si="5"/>
        <v>3.8787234757364786E-7</v>
      </c>
      <c r="N25" s="93" t="e">
        <f>#REF!</f>
        <v>#REF!</v>
      </c>
      <c r="P25" s="93" t="e">
        <f t="shared" si="6"/>
        <v>#REF!</v>
      </c>
      <c r="Q25" s="161">
        <v>47.455587999999999</v>
      </c>
      <c r="R25" s="162">
        <f t="shared" si="7"/>
        <v>-12.402291612127648</v>
      </c>
      <c r="S25" s="161"/>
      <c r="T25" s="161">
        <f t="shared" si="8"/>
        <v>0</v>
      </c>
      <c r="Y25" s="156"/>
      <c r="Z25" s="156"/>
    </row>
    <row r="26" spans="1:26" s="94" customFormat="1" ht="25.5" customHeight="1" x14ac:dyDescent="0.25">
      <c r="A26" s="148" t="s">
        <v>84</v>
      </c>
      <c r="B26" s="149">
        <f>'CENSO (2)'!C28</f>
        <v>30565</v>
      </c>
      <c r="C26" s="150">
        <f t="shared" si="0"/>
        <v>2.5879513991786967</v>
      </c>
      <c r="D26" s="151">
        <f>Datos!$L$27*FFM!C26/100</f>
        <v>1084.9080458066971</v>
      </c>
      <c r="E26" s="152">
        <v>1666341</v>
      </c>
      <c r="F26" s="153">
        <f t="shared" si="2"/>
        <v>0.31328260206491532</v>
      </c>
      <c r="G26" s="152">
        <f>Datos!$L$28*FFM!F26/100</f>
        <v>131.33276602464346</v>
      </c>
      <c r="H26" s="154">
        <f t="shared" si="3"/>
        <v>1216.2408118313406</v>
      </c>
      <c r="I26" s="159" t="e">
        <f>D26+G26+#REF!</f>
        <v>#REF!</v>
      </c>
      <c r="J26" s="93">
        <f t="shared" si="1"/>
        <v>2.901234001243612</v>
      </c>
      <c r="K26" s="93">
        <f t="shared" si="4"/>
        <v>1.450617000621806</v>
      </c>
      <c r="L26" s="93">
        <v>1.450617</v>
      </c>
      <c r="M26" s="160">
        <f t="shared" si="5"/>
        <v>6.218059400708853E-10</v>
      </c>
      <c r="N26" s="93" t="e">
        <f>#REF!</f>
        <v>#REF!</v>
      </c>
      <c r="O26" s="94">
        <v>11.919331</v>
      </c>
      <c r="P26" s="93" t="e">
        <f t="shared" si="6"/>
        <v>#REF!</v>
      </c>
      <c r="Q26" s="161">
        <v>2.0164080000000002</v>
      </c>
      <c r="R26" s="162">
        <f t="shared" si="7"/>
        <v>-0.56579099937819421</v>
      </c>
      <c r="S26" s="161">
        <v>12.742653000000001</v>
      </c>
      <c r="T26" s="161">
        <f t="shared" si="8"/>
        <v>-0.823322000000001</v>
      </c>
      <c r="Y26" s="156"/>
      <c r="Z26" s="156"/>
    </row>
    <row r="27" spans="1:26" s="94" customFormat="1" ht="25.5" customHeight="1" thickBot="1" x14ac:dyDescent="0.3">
      <c r="A27" s="163" t="s">
        <v>85</v>
      </c>
      <c r="B27" s="164">
        <f>'CENSO (2)'!C29</f>
        <v>57418</v>
      </c>
      <c r="C27" s="150">
        <f t="shared" si="0"/>
        <v>4.8616061978747727</v>
      </c>
      <c r="D27" s="151">
        <f>Datos!$L$27*FFM!C27/100</f>
        <v>2038.0582422420725</v>
      </c>
      <c r="E27" s="164">
        <v>28960943</v>
      </c>
      <c r="F27" s="153">
        <f t="shared" si="2"/>
        <v>5.4448396704478217</v>
      </c>
      <c r="G27" s="152">
        <f>Datos!$L$28*FFM!F27/100</f>
        <v>2282.5584624467829</v>
      </c>
      <c r="H27" s="154">
        <f t="shared" si="3"/>
        <v>4320.616704688855</v>
      </c>
      <c r="I27" s="155" t="e">
        <f>D27+G27+#REF!</f>
        <v>#REF!</v>
      </c>
      <c r="J27" s="93">
        <f t="shared" si="1"/>
        <v>10.306445868322594</v>
      </c>
      <c r="K27" s="93">
        <f t="shared" si="4"/>
        <v>5.1532229341612972</v>
      </c>
      <c r="L27" s="93">
        <v>5.1532229999999997</v>
      </c>
      <c r="M27" s="160">
        <f t="shared" si="5"/>
        <v>-6.5838702489884326E-8</v>
      </c>
      <c r="N27" s="93" t="e">
        <f>#REF!</f>
        <v>#REF!</v>
      </c>
      <c r="P27" s="93" t="e">
        <f t="shared" si="6"/>
        <v>#REF!</v>
      </c>
      <c r="Q27" s="161">
        <v>6.9632639999999997</v>
      </c>
      <c r="R27" s="162">
        <f t="shared" si="7"/>
        <v>-1.8100410658387025</v>
      </c>
      <c r="S27" s="161"/>
      <c r="T27" s="161"/>
      <c r="Y27" s="156"/>
      <c r="Z27" s="156"/>
    </row>
    <row r="28" spans="1:26" ht="16.5" thickBot="1" x14ac:dyDescent="0.3">
      <c r="A28" s="165" t="s">
        <v>86</v>
      </c>
      <c r="B28" s="166">
        <f>SUM(B8:B27)</f>
        <v>1181050</v>
      </c>
      <c r="C28" s="167">
        <f t="shared" si="0"/>
        <v>100</v>
      </c>
      <c r="D28" s="168">
        <f>SUM(D8:D27)</f>
        <v>41921.499999999993</v>
      </c>
      <c r="E28" s="169">
        <f>SUM(E8:E27)</f>
        <v>531897076</v>
      </c>
      <c r="F28" s="170">
        <f>E28/E$28*100</f>
        <v>100</v>
      </c>
      <c r="G28" s="171">
        <f>SUM(G8:G27)</f>
        <v>41921.499999999985</v>
      </c>
      <c r="H28" s="171">
        <f>SUM(H8:H27)</f>
        <v>83842.999999999985</v>
      </c>
      <c r="I28" s="172" t="e">
        <f>SUM(I8:I27)</f>
        <v>#REF!</v>
      </c>
      <c r="J28" s="156">
        <f>SUM(J8:J27)</f>
        <v>199.99999999999997</v>
      </c>
      <c r="K28" s="156">
        <f t="shared" si="4"/>
        <v>99.999999999999986</v>
      </c>
      <c r="L28" s="156">
        <f>SUM(L8:L27)</f>
        <v>100.000001</v>
      </c>
      <c r="M28" s="156">
        <f>SUM(M8:M27)</f>
        <v>5.0400125642291367E-7</v>
      </c>
      <c r="N28" s="156" t="e">
        <f>SUM(N8:N27)</f>
        <v>#REF!</v>
      </c>
      <c r="O28" s="156">
        <f t="shared" ref="O28:P28" si="9">SUM(O8:O27)</f>
        <v>99.999999000000003</v>
      </c>
      <c r="P28" s="156" t="e">
        <f t="shared" si="9"/>
        <v>#REF!</v>
      </c>
      <c r="Q28" s="158">
        <f>SUM(Q8:Q27)</f>
        <v>140.00000000000003</v>
      </c>
      <c r="R28" s="158">
        <f t="shared" ref="R28:T28" si="10">SUM(R8:R27)</f>
        <v>-40</v>
      </c>
      <c r="S28" s="158">
        <f t="shared" si="10"/>
        <v>99.999999000000003</v>
      </c>
      <c r="T28" s="158">
        <f t="shared" si="10"/>
        <v>1.7763568394002505E-15</v>
      </c>
      <c r="U28" s="65"/>
      <c r="V28" s="65"/>
      <c r="W28" s="65"/>
      <c r="X28" s="65"/>
      <c r="Y28" s="156"/>
      <c r="Z28" s="65"/>
    </row>
    <row r="29" spans="1:26" ht="15.75" x14ac:dyDescent="0.25">
      <c r="A29" s="118" t="s">
        <v>87</v>
      </c>
      <c r="B29" s="63"/>
      <c r="C29" s="63"/>
      <c r="D29" s="173"/>
      <c r="E29" s="174"/>
      <c r="F29" s="174"/>
      <c r="G29" s="173"/>
      <c r="H29" s="173"/>
      <c r="I29" s="174"/>
      <c r="J29" s="65"/>
      <c r="K29" s="65"/>
      <c r="L29" s="65"/>
      <c r="M29" s="65"/>
      <c r="N29" s="65"/>
      <c r="O29" s="65"/>
      <c r="P29" s="65"/>
      <c r="Q29" s="65"/>
      <c r="R29" s="65"/>
      <c r="S29" s="65"/>
      <c r="T29" s="65"/>
      <c r="U29" s="65"/>
      <c r="V29" s="65"/>
      <c r="W29" s="65"/>
      <c r="X29" s="65"/>
      <c r="Y29" s="65"/>
      <c r="Z29" s="65"/>
    </row>
    <row r="30" spans="1:26" ht="15.75" x14ac:dyDescent="0.25">
      <c r="A30" s="63"/>
      <c r="B30" s="65"/>
      <c r="C30" s="65"/>
      <c r="D30" s="175"/>
      <c r="E30" s="65"/>
      <c r="F30" s="65"/>
      <c r="G30" s="94"/>
      <c r="H30" s="94"/>
      <c r="I30" s="65"/>
      <c r="J30" s="65"/>
      <c r="K30" s="65"/>
      <c r="L30" s="65"/>
      <c r="M30" s="65"/>
      <c r="N30" s="65"/>
      <c r="O30" s="65"/>
      <c r="P30" s="65"/>
      <c r="Q30" s="65"/>
      <c r="R30" s="65"/>
      <c r="S30" s="65"/>
      <c r="T30" s="65"/>
      <c r="U30" s="65"/>
      <c r="V30" s="65"/>
      <c r="W30" s="65"/>
      <c r="X30" s="65"/>
      <c r="Y30" s="65"/>
      <c r="Z30" s="65"/>
    </row>
    <row r="31" spans="1:26" ht="15.75" x14ac:dyDescent="0.25">
      <c r="A31" s="125" t="s">
        <v>228</v>
      </c>
      <c r="B31" s="65"/>
      <c r="C31" s="65"/>
      <c r="D31" s="94"/>
      <c r="E31" s="65"/>
      <c r="F31" s="65"/>
      <c r="G31" s="94"/>
      <c r="H31" s="94"/>
      <c r="I31" s="65"/>
      <c r="J31" s="65"/>
      <c r="K31" s="65"/>
      <c r="L31" s="65"/>
      <c r="M31" s="65"/>
      <c r="N31" s="65"/>
      <c r="O31" s="65"/>
      <c r="P31" s="65"/>
      <c r="Q31" s="65"/>
      <c r="R31" s="65"/>
      <c r="S31" s="65"/>
      <c r="T31" s="65"/>
      <c r="U31" s="65"/>
      <c r="V31" s="65"/>
      <c r="W31" s="65"/>
      <c r="X31" s="65"/>
      <c r="Y31" s="65"/>
      <c r="Z31" s="65"/>
    </row>
    <row r="32" spans="1:26" ht="15.75" hidden="1" customHeight="1" x14ac:dyDescent="0.25">
      <c r="A32" s="342" t="s">
        <v>106</v>
      </c>
      <c r="B32" s="342"/>
      <c r="C32" s="342"/>
      <c r="D32" s="342"/>
      <c r="E32" s="342"/>
      <c r="F32" s="65"/>
      <c r="G32" s="94"/>
      <c r="H32" s="94"/>
      <c r="I32" s="65"/>
      <c r="J32" s="65"/>
      <c r="K32" s="65"/>
      <c r="L32" s="65"/>
      <c r="M32" s="65"/>
      <c r="N32" s="65"/>
      <c r="O32" s="65"/>
      <c r="P32" s="65"/>
      <c r="Q32" s="65"/>
      <c r="R32" s="65"/>
      <c r="S32" s="65"/>
      <c r="T32" s="65"/>
      <c r="U32" s="65"/>
      <c r="V32" s="65"/>
      <c r="W32" s="65"/>
      <c r="X32" s="65"/>
      <c r="Y32" s="65"/>
      <c r="Z32" s="65"/>
    </row>
    <row r="33" spans="1:6" ht="15" hidden="1" customHeight="1" x14ac:dyDescent="0.25">
      <c r="A33" s="63"/>
      <c r="B33" s="63"/>
      <c r="C33" s="63"/>
      <c r="D33" s="63"/>
      <c r="E33" s="63"/>
      <c r="F33" s="65"/>
    </row>
    <row r="34" spans="1:6" ht="15" hidden="1" customHeight="1" x14ac:dyDescent="0.25">
      <c r="A34" s="359" t="s">
        <v>88</v>
      </c>
      <c r="B34" s="176" t="s">
        <v>107</v>
      </c>
      <c r="C34" s="177" t="s">
        <v>108</v>
      </c>
      <c r="D34" s="177" t="s">
        <v>40</v>
      </c>
      <c r="E34" s="176" t="s">
        <v>109</v>
      </c>
      <c r="F34" s="176" t="s">
        <v>110</v>
      </c>
    </row>
    <row r="35" spans="1:6" ht="15" hidden="1" customHeight="1" x14ac:dyDescent="0.25">
      <c r="A35" s="360"/>
      <c r="B35" s="178" t="s">
        <v>111</v>
      </c>
      <c r="C35" s="179" t="s">
        <v>112</v>
      </c>
      <c r="D35" s="179" t="s">
        <v>113</v>
      </c>
      <c r="E35" s="178" t="s">
        <v>114</v>
      </c>
      <c r="F35" s="178" t="s">
        <v>115</v>
      </c>
    </row>
    <row r="36" spans="1:6" ht="15" hidden="1" customHeight="1" x14ac:dyDescent="0.25">
      <c r="A36" s="360"/>
      <c r="B36" s="180" t="s">
        <v>116</v>
      </c>
      <c r="C36" s="179" t="s">
        <v>117</v>
      </c>
      <c r="D36" s="179" t="s">
        <v>118</v>
      </c>
      <c r="E36" s="178">
        <v>2014</v>
      </c>
      <c r="F36" s="178" t="s">
        <v>119</v>
      </c>
    </row>
    <row r="37" spans="1:6" ht="15" hidden="1" customHeight="1" x14ac:dyDescent="0.25">
      <c r="A37" s="361"/>
      <c r="B37" s="181" t="s">
        <v>52</v>
      </c>
      <c r="C37" s="181" t="s">
        <v>53</v>
      </c>
      <c r="D37" s="181" t="s">
        <v>54</v>
      </c>
      <c r="E37" s="181" t="s">
        <v>120</v>
      </c>
      <c r="F37" s="181" t="s">
        <v>56</v>
      </c>
    </row>
    <row r="38" spans="1:6" ht="15" hidden="1" customHeight="1" x14ac:dyDescent="0.2">
      <c r="A38" s="182" t="s">
        <v>66</v>
      </c>
      <c r="B38" s="174" t="e">
        <f>#REF!*0.7</f>
        <v>#REF!</v>
      </c>
      <c r="C38" s="174">
        <f t="shared" ref="C38:C58" si="11">D8+G8</f>
        <v>2079.9248029337614</v>
      </c>
      <c r="D38" s="174" t="e">
        <f>#REF!+C38</f>
        <v>#REF!</v>
      </c>
      <c r="E38" s="174" t="e">
        <f>B38+C38</f>
        <v>#REF!</v>
      </c>
      <c r="F38" s="183" t="e">
        <f>D38-E38</f>
        <v>#REF!</v>
      </c>
    </row>
    <row r="39" spans="1:6" ht="15" hidden="1" customHeight="1" x14ac:dyDescent="0.2">
      <c r="A39" s="184" t="s">
        <v>67</v>
      </c>
      <c r="B39" s="174" t="e">
        <f>#REF!*0.7</f>
        <v>#REF!</v>
      </c>
      <c r="C39" s="174">
        <f t="shared" si="11"/>
        <v>893.60979718868828</v>
      </c>
      <c r="D39" s="174" t="e">
        <f>#REF!+C39</f>
        <v>#REF!</v>
      </c>
      <c r="E39" s="174" t="e">
        <f t="shared" ref="E39:E57" si="12">B39+C39</f>
        <v>#REF!</v>
      </c>
      <c r="F39" s="183" t="e">
        <f t="shared" ref="F39:F57" si="13">D39-E39</f>
        <v>#REF!</v>
      </c>
    </row>
    <row r="40" spans="1:6" ht="15" hidden="1" customHeight="1" x14ac:dyDescent="0.2">
      <c r="A40" s="184" t="s">
        <v>68</v>
      </c>
      <c r="B40" s="174" t="e">
        <f>#REF!*0.7</f>
        <v>#REF!</v>
      </c>
      <c r="C40" s="174">
        <f t="shared" si="11"/>
        <v>718.9305112816669</v>
      </c>
      <c r="D40" s="174" t="e">
        <f>#REF!+C40</f>
        <v>#REF!</v>
      </c>
      <c r="E40" s="174" t="e">
        <f t="shared" si="12"/>
        <v>#REF!</v>
      </c>
      <c r="F40" s="183" t="e">
        <f t="shared" si="13"/>
        <v>#REF!</v>
      </c>
    </row>
    <row r="41" spans="1:6" ht="15" hidden="1" customHeight="1" x14ac:dyDescent="0.2">
      <c r="A41" s="184" t="s">
        <v>69</v>
      </c>
      <c r="B41" s="174" t="e">
        <f>#REF!*0.7</f>
        <v>#REF!</v>
      </c>
      <c r="C41" s="174">
        <f t="shared" si="11"/>
        <v>22230.638851422307</v>
      </c>
      <c r="D41" s="174" t="e">
        <f>#REF!+C41</f>
        <v>#REF!</v>
      </c>
      <c r="E41" s="174" t="e">
        <f t="shared" si="12"/>
        <v>#REF!</v>
      </c>
      <c r="F41" s="183" t="e">
        <f t="shared" si="13"/>
        <v>#REF!</v>
      </c>
    </row>
    <row r="42" spans="1:6" ht="15" hidden="1" customHeight="1" x14ac:dyDescent="0.2">
      <c r="A42" s="184" t="s">
        <v>70</v>
      </c>
      <c r="B42" s="174" t="e">
        <f>#REF!*0.7</f>
        <v>#REF!</v>
      </c>
      <c r="C42" s="174">
        <f t="shared" si="11"/>
        <v>4503.9291451109257</v>
      </c>
      <c r="D42" s="174" t="e">
        <f>#REF!+C42</f>
        <v>#REF!</v>
      </c>
      <c r="E42" s="174" t="e">
        <f t="shared" si="12"/>
        <v>#REF!</v>
      </c>
      <c r="F42" s="183" t="e">
        <f t="shared" si="13"/>
        <v>#REF!</v>
      </c>
    </row>
    <row r="43" spans="1:6" ht="15" hidden="1" customHeight="1" x14ac:dyDescent="0.2">
      <c r="A43" s="184" t="s">
        <v>71</v>
      </c>
      <c r="B43" s="174" t="e">
        <f>#REF!*0.7</f>
        <v>#REF!</v>
      </c>
      <c r="C43" s="174">
        <f t="shared" si="11"/>
        <v>1531.7090883863225</v>
      </c>
      <c r="D43" s="174" t="e">
        <f>#REF!+C43</f>
        <v>#REF!</v>
      </c>
      <c r="E43" s="174" t="e">
        <f t="shared" si="12"/>
        <v>#REF!</v>
      </c>
      <c r="F43" s="183" t="e">
        <f t="shared" si="13"/>
        <v>#REF!</v>
      </c>
    </row>
    <row r="44" spans="1:6" ht="15" hidden="1" customHeight="1" x14ac:dyDescent="0.2">
      <c r="A44" s="184" t="s">
        <v>72</v>
      </c>
      <c r="B44" s="174" t="e">
        <f>#REF!*0.7</f>
        <v>#REF!</v>
      </c>
      <c r="C44" s="174">
        <f t="shared" si="11"/>
        <v>452.66134118247464</v>
      </c>
      <c r="D44" s="174" t="e">
        <f>#REF!+C44</f>
        <v>#REF!</v>
      </c>
      <c r="E44" s="174" t="e">
        <f t="shared" si="12"/>
        <v>#REF!</v>
      </c>
      <c r="F44" s="183" t="e">
        <f t="shared" si="13"/>
        <v>#REF!</v>
      </c>
    </row>
    <row r="45" spans="1:6" ht="15" hidden="1" customHeight="1" x14ac:dyDescent="0.2">
      <c r="A45" s="184" t="s">
        <v>73</v>
      </c>
      <c r="B45" s="174" t="e">
        <f>#REF!*0.7</f>
        <v>#REF!</v>
      </c>
      <c r="C45" s="174">
        <f t="shared" si="11"/>
        <v>2178.3456249073142</v>
      </c>
      <c r="D45" s="174" t="e">
        <f>#REF!+C45</f>
        <v>#REF!</v>
      </c>
      <c r="E45" s="174" t="e">
        <f t="shared" si="12"/>
        <v>#REF!</v>
      </c>
      <c r="F45" s="183" t="e">
        <f t="shared" si="13"/>
        <v>#REF!</v>
      </c>
    </row>
    <row r="46" spans="1:6" ht="15" hidden="1" customHeight="1" x14ac:dyDescent="0.2">
      <c r="A46" s="184" t="s">
        <v>74</v>
      </c>
      <c r="B46" s="174" t="e">
        <f>#REF!*0.7</f>
        <v>#REF!</v>
      </c>
      <c r="C46" s="174">
        <f t="shared" si="11"/>
        <v>991.02043375251083</v>
      </c>
      <c r="D46" s="174" t="e">
        <f>#REF!+C46</f>
        <v>#REF!</v>
      </c>
      <c r="E46" s="174" t="e">
        <f t="shared" si="12"/>
        <v>#REF!</v>
      </c>
      <c r="F46" s="183" t="e">
        <f t="shared" si="13"/>
        <v>#REF!</v>
      </c>
    </row>
    <row r="47" spans="1:6" ht="15" hidden="1" customHeight="1" x14ac:dyDescent="0.2">
      <c r="A47" s="184" t="s">
        <v>75</v>
      </c>
      <c r="B47" s="174" t="e">
        <f>#REF!*0.7</f>
        <v>#REF!</v>
      </c>
      <c r="C47" s="174">
        <f t="shared" si="11"/>
        <v>556.92251278022206</v>
      </c>
      <c r="D47" s="174" t="e">
        <f>#REF!+C47</f>
        <v>#REF!</v>
      </c>
      <c r="E47" s="174" t="e">
        <f t="shared" si="12"/>
        <v>#REF!</v>
      </c>
      <c r="F47" s="183" t="e">
        <f t="shared" si="13"/>
        <v>#REF!</v>
      </c>
    </row>
    <row r="48" spans="1:6" ht="15" hidden="1" customHeight="1" x14ac:dyDescent="0.2">
      <c r="A48" s="184" t="s">
        <v>76</v>
      </c>
      <c r="B48" s="174" t="e">
        <f>#REF!*0.7</f>
        <v>#REF!</v>
      </c>
      <c r="C48" s="174">
        <f t="shared" si="11"/>
        <v>1346.720740550302</v>
      </c>
      <c r="D48" s="174" t="e">
        <f>#REF!+C48</f>
        <v>#REF!</v>
      </c>
      <c r="E48" s="174" t="e">
        <f t="shared" si="12"/>
        <v>#REF!</v>
      </c>
      <c r="F48" s="183" t="e">
        <f t="shared" si="13"/>
        <v>#REF!</v>
      </c>
    </row>
    <row r="49" spans="1:6" ht="15" hidden="1" customHeight="1" x14ac:dyDescent="0.2">
      <c r="A49" s="184" t="s">
        <v>77</v>
      </c>
      <c r="B49" s="174" t="e">
        <f>#REF!*0.7</f>
        <v>#REF!</v>
      </c>
      <c r="C49" s="174">
        <f t="shared" si="11"/>
        <v>1027.5121642800696</v>
      </c>
      <c r="D49" s="174" t="e">
        <f>#REF!+C49</f>
        <v>#REF!</v>
      </c>
      <c r="E49" s="174" t="e">
        <f t="shared" si="12"/>
        <v>#REF!</v>
      </c>
      <c r="F49" s="183" t="e">
        <f t="shared" si="13"/>
        <v>#REF!</v>
      </c>
    </row>
    <row r="50" spans="1:6" ht="15" hidden="1" customHeight="1" x14ac:dyDescent="0.2">
      <c r="A50" s="184" t="s">
        <v>78</v>
      </c>
      <c r="B50" s="174" t="e">
        <f>#REF!*0.7</f>
        <v>#REF!</v>
      </c>
      <c r="C50" s="174">
        <f t="shared" si="11"/>
        <v>1876.3405216570657</v>
      </c>
      <c r="D50" s="174" t="e">
        <f>#REF!+C50</f>
        <v>#REF!</v>
      </c>
      <c r="E50" s="174" t="e">
        <f t="shared" si="12"/>
        <v>#REF!</v>
      </c>
      <c r="F50" s="183" t="e">
        <f t="shared" si="13"/>
        <v>#REF!</v>
      </c>
    </row>
    <row r="51" spans="1:6" ht="15" hidden="1" customHeight="1" x14ac:dyDescent="0.2">
      <c r="A51" s="184" t="s">
        <v>79</v>
      </c>
      <c r="B51" s="174" t="e">
        <f>#REF!*0.7</f>
        <v>#REF!</v>
      </c>
      <c r="C51" s="174">
        <f t="shared" si="11"/>
        <v>362.28034499893567</v>
      </c>
      <c r="D51" s="174" t="e">
        <f>#REF!+C51</f>
        <v>#REF!</v>
      </c>
      <c r="E51" s="174" t="e">
        <f t="shared" si="12"/>
        <v>#REF!</v>
      </c>
      <c r="F51" s="183" t="e">
        <f t="shared" si="13"/>
        <v>#REF!</v>
      </c>
    </row>
    <row r="52" spans="1:6" ht="15" hidden="1" customHeight="1" x14ac:dyDescent="0.2">
      <c r="A52" s="184" t="s">
        <v>80</v>
      </c>
      <c r="B52" s="174" t="e">
        <f>#REF!*0.7</f>
        <v>#REF!</v>
      </c>
      <c r="C52" s="174">
        <f t="shared" si="11"/>
        <v>1173.3783395278901</v>
      </c>
      <c r="D52" s="174" t="e">
        <f>#REF!+C52</f>
        <v>#REF!</v>
      </c>
      <c r="E52" s="174" t="e">
        <f t="shared" si="12"/>
        <v>#REF!</v>
      </c>
      <c r="F52" s="183" t="e">
        <f t="shared" si="13"/>
        <v>#REF!</v>
      </c>
    </row>
    <row r="53" spans="1:6" ht="15" hidden="1" customHeight="1" x14ac:dyDescent="0.2">
      <c r="A53" s="184" t="s">
        <v>81</v>
      </c>
      <c r="B53" s="174" t="e">
        <f>#REF!*0.7</f>
        <v>#REF!</v>
      </c>
      <c r="C53" s="174">
        <f t="shared" si="11"/>
        <v>4672.4827672487954</v>
      </c>
      <c r="D53" s="174" t="e">
        <f>#REF!+C53</f>
        <v>#REF!</v>
      </c>
      <c r="E53" s="174" t="e">
        <f t="shared" si="12"/>
        <v>#REF!</v>
      </c>
      <c r="F53" s="183" t="e">
        <f t="shared" si="13"/>
        <v>#REF!</v>
      </c>
    </row>
    <row r="54" spans="1:6" ht="15" hidden="1" customHeight="1" x14ac:dyDescent="0.2">
      <c r="A54" s="184" t="s">
        <v>82</v>
      </c>
      <c r="B54" s="174" t="e">
        <f>#REF!*0.7</f>
        <v>#REF!</v>
      </c>
      <c r="C54" s="174">
        <f t="shared" si="11"/>
        <v>2320.0002057867227</v>
      </c>
      <c r="D54" s="174" t="e">
        <f>#REF!+C54</f>
        <v>#REF!</v>
      </c>
      <c r="E54" s="174" t="e">
        <f t="shared" si="12"/>
        <v>#REF!</v>
      </c>
      <c r="F54" s="183" t="e">
        <f t="shared" si="13"/>
        <v>#REF!</v>
      </c>
    </row>
    <row r="55" spans="1:6" ht="15" hidden="1" customHeight="1" x14ac:dyDescent="0.2">
      <c r="A55" s="184" t="s">
        <v>83</v>
      </c>
      <c r="B55" s="174" t="e">
        <f>#REF!*0.7</f>
        <v>#REF!</v>
      </c>
      <c r="C55" s="174">
        <f t="shared" si="11"/>
        <v>29389.735290483812</v>
      </c>
      <c r="D55" s="174" t="e">
        <f>#REF!+C55</f>
        <v>#REF!</v>
      </c>
      <c r="E55" s="174" t="e">
        <f t="shared" si="12"/>
        <v>#REF!</v>
      </c>
      <c r="F55" s="183" t="e">
        <f t="shared" si="13"/>
        <v>#REF!</v>
      </c>
    </row>
    <row r="56" spans="1:6" ht="15" hidden="1" customHeight="1" x14ac:dyDescent="0.2">
      <c r="A56" s="184" t="s">
        <v>84</v>
      </c>
      <c r="B56" s="174" t="e">
        <f>#REF!*0.7</f>
        <v>#REF!</v>
      </c>
      <c r="C56" s="174">
        <f t="shared" si="11"/>
        <v>1216.2408118313406</v>
      </c>
      <c r="D56" s="174" t="e">
        <f>#REF!+C56</f>
        <v>#REF!</v>
      </c>
      <c r="E56" s="174" t="e">
        <f t="shared" si="12"/>
        <v>#REF!</v>
      </c>
      <c r="F56" s="183" t="e">
        <f t="shared" si="13"/>
        <v>#REF!</v>
      </c>
    </row>
    <row r="57" spans="1:6" ht="15" hidden="1" customHeight="1" x14ac:dyDescent="0.2">
      <c r="A57" s="184" t="s">
        <v>85</v>
      </c>
      <c r="B57" s="174" t="e">
        <f>#REF!*0.7</f>
        <v>#REF!</v>
      </c>
      <c r="C57" s="174">
        <f t="shared" si="11"/>
        <v>4320.616704688855</v>
      </c>
      <c r="D57" s="174" t="e">
        <f>#REF!+C57</f>
        <v>#REF!</v>
      </c>
      <c r="E57" s="174" t="e">
        <f t="shared" si="12"/>
        <v>#REF!</v>
      </c>
      <c r="F57" s="183" t="e">
        <f t="shared" si="13"/>
        <v>#REF!</v>
      </c>
    </row>
    <row r="58" spans="1:6" ht="15" hidden="1" customHeight="1" x14ac:dyDescent="0.25">
      <c r="A58" s="185" t="s">
        <v>86</v>
      </c>
      <c r="B58" s="186" t="e">
        <f>#REF!*0.7</f>
        <v>#REF!</v>
      </c>
      <c r="C58" s="186">
        <f t="shared" si="11"/>
        <v>83842.999999999971</v>
      </c>
      <c r="D58" s="186" t="e">
        <f>#REF!+C58</f>
        <v>#REF!</v>
      </c>
      <c r="E58" s="186" t="e">
        <f>SUM(E38:E57)</f>
        <v>#REF!</v>
      </c>
      <c r="F58" s="187">
        <v>0</v>
      </c>
    </row>
    <row r="59" spans="1:6" ht="15.75" x14ac:dyDescent="0.25">
      <c r="A59" s="65"/>
      <c r="B59" s="65"/>
      <c r="C59" s="65"/>
      <c r="D59" s="94"/>
      <c r="E59" s="65"/>
      <c r="F59" s="65"/>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B1:E29"/>
  <sheetViews>
    <sheetView workbookViewId="0">
      <selection activeCell="B2" sqref="B2:D2"/>
    </sheetView>
  </sheetViews>
  <sheetFormatPr baseColWidth="10" defaultRowHeight="15" x14ac:dyDescent="0.25"/>
  <cols>
    <col min="1" max="1" width="2.77734375" style="65" customWidth="1"/>
    <col min="2" max="2" width="26.77734375" style="65" customWidth="1"/>
    <col min="3" max="3" width="15" style="64" customWidth="1"/>
    <col min="4" max="4" width="17.33203125" style="128" customWidth="1"/>
    <col min="5" max="5" width="14.33203125" style="65" customWidth="1"/>
    <col min="6" max="6" width="14.77734375" style="65" customWidth="1"/>
    <col min="7" max="7" width="10" style="65" customWidth="1"/>
    <col min="8" max="16384" width="11.5546875" style="65"/>
  </cols>
  <sheetData>
    <row r="1" spans="2:5" x14ac:dyDescent="0.25">
      <c r="B1" s="63"/>
      <c r="C1" s="188"/>
    </row>
    <row r="2" spans="2:5" ht="33.75" customHeight="1" thickBot="1" x14ac:dyDescent="0.3">
      <c r="B2" s="374" t="s">
        <v>219</v>
      </c>
      <c r="C2" s="374"/>
      <c r="D2" s="374"/>
    </row>
    <row r="3" spans="2:5" x14ac:dyDescent="0.25">
      <c r="B3" s="375" t="s">
        <v>88</v>
      </c>
      <c r="C3" s="375" t="s">
        <v>238</v>
      </c>
      <c r="D3" s="380" t="s">
        <v>224</v>
      </c>
    </row>
    <row r="4" spans="2:5" x14ac:dyDescent="0.25">
      <c r="B4" s="376"/>
      <c r="C4" s="378"/>
      <c r="D4" s="381"/>
    </row>
    <row r="5" spans="2:5" x14ac:dyDescent="0.25">
      <c r="B5" s="376"/>
      <c r="C5" s="378"/>
      <c r="D5" s="381"/>
    </row>
    <row r="6" spans="2:5" ht="15.75" thickBot="1" x14ac:dyDescent="0.3">
      <c r="B6" s="377"/>
      <c r="C6" s="379"/>
      <c r="D6" s="382"/>
    </row>
    <row r="7" spans="2:5" x14ac:dyDescent="0.25">
      <c r="B7" s="189" t="s">
        <v>66</v>
      </c>
      <c r="C7" s="190">
        <v>0.05</v>
      </c>
      <c r="D7" s="191">
        <f>Datos!$L$49*'IEPS TyA'!C7</f>
        <v>250218.18000000005</v>
      </c>
      <c r="E7" s="192"/>
    </row>
    <row r="8" spans="2:5" x14ac:dyDescent="0.25">
      <c r="B8" s="193" t="s">
        <v>67</v>
      </c>
      <c r="C8" s="194">
        <v>0.05</v>
      </c>
      <c r="D8" s="195">
        <f>Datos!$L$49*'IEPS TyA'!C8</f>
        <v>250218.18000000005</v>
      </c>
      <c r="E8" s="192"/>
    </row>
    <row r="9" spans="2:5" x14ac:dyDescent="0.25">
      <c r="B9" s="193" t="s">
        <v>68</v>
      </c>
      <c r="C9" s="194">
        <v>0.05</v>
      </c>
      <c r="D9" s="195">
        <f>Datos!$L$49*'IEPS TyA'!C9</f>
        <v>250218.18000000005</v>
      </c>
      <c r="E9" s="192"/>
    </row>
    <row r="10" spans="2:5" x14ac:dyDescent="0.25">
      <c r="B10" s="193" t="s">
        <v>69</v>
      </c>
      <c r="C10" s="194">
        <v>0.05</v>
      </c>
      <c r="D10" s="195">
        <f>Datos!$L$49*'IEPS TyA'!C10</f>
        <v>250218.18000000005</v>
      </c>
      <c r="E10" s="192"/>
    </row>
    <row r="11" spans="2:5" x14ac:dyDescent="0.25">
      <c r="B11" s="193" t="s">
        <v>70</v>
      </c>
      <c r="C11" s="194">
        <v>0.05</v>
      </c>
      <c r="D11" s="195">
        <f>Datos!$L$49*'IEPS TyA'!C11</f>
        <v>250218.18000000005</v>
      </c>
      <c r="E11" s="192"/>
    </row>
    <row r="12" spans="2:5" x14ac:dyDescent="0.25">
      <c r="B12" s="193" t="s">
        <v>71</v>
      </c>
      <c r="C12" s="194">
        <v>0.05</v>
      </c>
      <c r="D12" s="195">
        <f>Datos!$L$49*'IEPS TyA'!C12</f>
        <v>250218.18000000005</v>
      </c>
      <c r="E12" s="192"/>
    </row>
    <row r="13" spans="2:5" x14ac:dyDescent="0.25">
      <c r="B13" s="193" t="s">
        <v>72</v>
      </c>
      <c r="C13" s="194">
        <v>0.05</v>
      </c>
      <c r="D13" s="195">
        <f>Datos!$L$49*'IEPS TyA'!C13</f>
        <v>250218.18000000005</v>
      </c>
      <c r="E13" s="192"/>
    </row>
    <row r="14" spans="2:5" x14ac:dyDescent="0.25">
      <c r="B14" s="193" t="s">
        <v>73</v>
      </c>
      <c r="C14" s="194">
        <v>0.05</v>
      </c>
      <c r="D14" s="195">
        <f>Datos!$L$49*'IEPS TyA'!C14</f>
        <v>250218.18000000005</v>
      </c>
      <c r="E14" s="192"/>
    </row>
    <row r="15" spans="2:5" x14ac:dyDescent="0.25">
      <c r="B15" s="193" t="s">
        <v>74</v>
      </c>
      <c r="C15" s="194">
        <v>0.05</v>
      </c>
      <c r="D15" s="195">
        <f>Datos!$L$49*'IEPS TyA'!C15</f>
        <v>250218.18000000005</v>
      </c>
      <c r="E15" s="192"/>
    </row>
    <row r="16" spans="2:5" x14ac:dyDescent="0.25">
      <c r="B16" s="193" t="s">
        <v>75</v>
      </c>
      <c r="C16" s="194">
        <v>0.05</v>
      </c>
      <c r="D16" s="195">
        <f>Datos!$L$49*'IEPS TyA'!C16</f>
        <v>250218.18000000005</v>
      </c>
      <c r="E16" s="192"/>
    </row>
    <row r="17" spans="2:5" x14ac:dyDescent="0.25">
      <c r="B17" s="193" t="s">
        <v>76</v>
      </c>
      <c r="C17" s="194">
        <v>0.05</v>
      </c>
      <c r="D17" s="195">
        <f>Datos!$L$49*'IEPS TyA'!C17</f>
        <v>250218.18000000005</v>
      </c>
      <c r="E17" s="192"/>
    </row>
    <row r="18" spans="2:5" x14ac:dyDescent="0.25">
      <c r="B18" s="193" t="s">
        <v>77</v>
      </c>
      <c r="C18" s="194">
        <v>0.05</v>
      </c>
      <c r="D18" s="195">
        <f>Datos!$L$49*'IEPS TyA'!C18</f>
        <v>250218.18000000005</v>
      </c>
      <c r="E18" s="192"/>
    </row>
    <row r="19" spans="2:5" x14ac:dyDescent="0.25">
      <c r="B19" s="193" t="s">
        <v>78</v>
      </c>
      <c r="C19" s="194">
        <v>0.05</v>
      </c>
      <c r="D19" s="195">
        <f>Datos!$L$49*'IEPS TyA'!C19</f>
        <v>250218.18000000005</v>
      </c>
      <c r="E19" s="192"/>
    </row>
    <row r="20" spans="2:5" x14ac:dyDescent="0.25">
      <c r="B20" s="193" t="s">
        <v>79</v>
      </c>
      <c r="C20" s="194">
        <v>0.05</v>
      </c>
      <c r="D20" s="195">
        <f>Datos!$L$49*'IEPS TyA'!C20</f>
        <v>250218.18000000005</v>
      </c>
      <c r="E20" s="192"/>
    </row>
    <row r="21" spans="2:5" x14ac:dyDescent="0.25">
      <c r="B21" s="193" t="s">
        <v>80</v>
      </c>
      <c r="C21" s="194">
        <v>0.05</v>
      </c>
      <c r="D21" s="195">
        <f>Datos!$L$49*'IEPS TyA'!C21</f>
        <v>250218.18000000005</v>
      </c>
      <c r="E21" s="192"/>
    </row>
    <row r="22" spans="2:5" x14ac:dyDescent="0.25">
      <c r="B22" s="193" t="s">
        <v>81</v>
      </c>
      <c r="C22" s="194">
        <v>0.05</v>
      </c>
      <c r="D22" s="195">
        <f>Datos!$L$49*'IEPS TyA'!C22</f>
        <v>250218.18000000005</v>
      </c>
      <c r="E22" s="192"/>
    </row>
    <row r="23" spans="2:5" x14ac:dyDescent="0.25">
      <c r="B23" s="193" t="s">
        <v>82</v>
      </c>
      <c r="C23" s="194">
        <v>0.05</v>
      </c>
      <c r="D23" s="195">
        <f>Datos!$L$49*'IEPS TyA'!C23</f>
        <v>250218.18000000005</v>
      </c>
      <c r="E23" s="192"/>
    </row>
    <row r="24" spans="2:5" x14ac:dyDescent="0.25">
      <c r="B24" s="193" t="s">
        <v>83</v>
      </c>
      <c r="C24" s="194">
        <v>0.05</v>
      </c>
      <c r="D24" s="195">
        <f>Datos!$L$49*'IEPS TyA'!C24</f>
        <v>250218.18000000005</v>
      </c>
      <c r="E24" s="192"/>
    </row>
    <row r="25" spans="2:5" x14ac:dyDescent="0.25">
      <c r="B25" s="193" t="s">
        <v>84</v>
      </c>
      <c r="C25" s="194">
        <v>0.05</v>
      </c>
      <c r="D25" s="195">
        <f>Datos!$L$49*'IEPS TyA'!C25</f>
        <v>250218.18000000005</v>
      </c>
      <c r="E25" s="192"/>
    </row>
    <row r="26" spans="2:5" ht="15.75" thickBot="1" x14ac:dyDescent="0.3">
      <c r="B26" s="196" t="s">
        <v>85</v>
      </c>
      <c r="C26" s="197">
        <v>0.05</v>
      </c>
      <c r="D26" s="198">
        <f>Datos!$L$49*'IEPS TyA'!C26</f>
        <v>250218.18000000005</v>
      </c>
      <c r="E26" s="192"/>
    </row>
    <row r="27" spans="2:5" ht="15.75" thickBot="1" x14ac:dyDescent="0.3">
      <c r="B27" s="199" t="s">
        <v>86</v>
      </c>
      <c r="C27" s="309">
        <v>100</v>
      </c>
      <c r="D27" s="200">
        <f>SUM(D7:D26)</f>
        <v>5004363.6000000015</v>
      </c>
      <c r="E27" s="192"/>
    </row>
    <row r="28" spans="2:5" x14ac:dyDescent="0.25">
      <c r="B28" s="118" t="s">
        <v>87</v>
      </c>
      <c r="C28" s="188"/>
    </row>
    <row r="29" spans="2:5" x14ac:dyDescent="0.25">
      <c r="B29" s="125" t="s">
        <v>229</v>
      </c>
      <c r="C29" s="201"/>
      <c r="D29" s="201"/>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0" tint="-0.249977111117893"/>
    <pageSetUpPr fitToPage="1"/>
  </sheetPr>
  <dimension ref="B1:M34"/>
  <sheetViews>
    <sheetView zoomScaleNormal="100" workbookViewId="0">
      <selection activeCell="F16" sqref="F16"/>
    </sheetView>
  </sheetViews>
  <sheetFormatPr baseColWidth="10" defaultRowHeight="15" x14ac:dyDescent="0.25"/>
  <cols>
    <col min="1" max="1" width="2.77734375" style="65" customWidth="1"/>
    <col min="2" max="2" width="15.88671875" style="65" customWidth="1"/>
    <col min="3" max="3" width="11.109375" style="65" customWidth="1"/>
    <col min="4" max="4" width="10.5546875" style="65" customWidth="1"/>
    <col min="5" max="5" width="8.6640625" style="64" customWidth="1"/>
    <col min="6" max="6" width="10.6640625" style="64" customWidth="1"/>
    <col min="7" max="7" width="11.33203125" style="65" customWidth="1"/>
    <col min="8" max="8" width="10" style="128" customWidth="1"/>
    <col min="9" max="11" width="0" style="65" hidden="1" customWidth="1"/>
    <col min="12" max="16384" width="11.5546875" style="65"/>
  </cols>
  <sheetData>
    <row r="1" spans="2:13" x14ac:dyDescent="0.25">
      <c r="B1" s="202"/>
      <c r="C1" s="202"/>
      <c r="D1" s="202"/>
      <c r="E1" s="203"/>
      <c r="F1" s="203"/>
      <c r="G1" s="204"/>
    </row>
    <row r="2" spans="2:13" ht="15.75" thickBot="1" x14ac:dyDescent="0.3">
      <c r="B2" s="384" t="s">
        <v>220</v>
      </c>
      <c r="C2" s="384"/>
      <c r="D2" s="384"/>
      <c r="E2" s="384"/>
      <c r="F2" s="384"/>
      <c r="G2" s="384"/>
      <c r="H2" s="384"/>
    </row>
    <row r="3" spans="2:13" ht="15" customHeight="1" x14ac:dyDescent="0.25">
      <c r="B3" s="364" t="s">
        <v>88</v>
      </c>
      <c r="C3" s="385" t="s">
        <v>239</v>
      </c>
      <c r="D3" s="385" t="s">
        <v>121</v>
      </c>
      <c r="E3" s="205" t="s">
        <v>122</v>
      </c>
      <c r="F3" s="206" t="s">
        <v>123</v>
      </c>
      <c r="G3" s="205" t="s">
        <v>124</v>
      </c>
      <c r="H3" s="387" t="s">
        <v>225</v>
      </c>
    </row>
    <row r="4" spans="2:13" x14ac:dyDescent="0.25">
      <c r="B4" s="365"/>
      <c r="C4" s="386"/>
      <c r="D4" s="386"/>
      <c r="E4" s="207">
        <v>2015</v>
      </c>
      <c r="F4" s="208" t="s">
        <v>125</v>
      </c>
      <c r="G4" s="207" t="s">
        <v>241</v>
      </c>
      <c r="H4" s="388"/>
    </row>
    <row r="5" spans="2:13" x14ac:dyDescent="0.25">
      <c r="B5" s="365"/>
      <c r="C5" s="207" t="s">
        <v>240</v>
      </c>
      <c r="D5" s="208" t="s">
        <v>240</v>
      </c>
      <c r="E5" s="207"/>
      <c r="F5" s="208" t="s">
        <v>42</v>
      </c>
      <c r="G5" s="207"/>
      <c r="H5" s="388"/>
    </row>
    <row r="6" spans="2:13" ht="15.75" thickBot="1" x14ac:dyDescent="0.3">
      <c r="B6" s="366"/>
      <c r="C6" s="209" t="s">
        <v>50</v>
      </c>
      <c r="D6" s="210" t="s">
        <v>95</v>
      </c>
      <c r="E6" s="209" t="s">
        <v>52</v>
      </c>
      <c r="F6" s="211" t="s">
        <v>126</v>
      </c>
      <c r="G6" s="212" t="s">
        <v>127</v>
      </c>
      <c r="H6" s="213" t="s">
        <v>55</v>
      </c>
      <c r="I6" s="214" t="s">
        <v>100</v>
      </c>
      <c r="J6" s="215" t="s">
        <v>128</v>
      </c>
      <c r="K6" s="216"/>
    </row>
    <row r="7" spans="2:13" x14ac:dyDescent="0.25">
      <c r="B7" s="217" t="s">
        <v>66</v>
      </c>
      <c r="C7" s="218">
        <v>9587479</v>
      </c>
      <c r="D7" s="219">
        <f>C7/$C$27*100</f>
        <v>1.8025064307742125</v>
      </c>
      <c r="E7" s="218">
        <v>37309</v>
      </c>
      <c r="F7" s="220">
        <f>D7*E7</f>
        <v>67249.712425755089</v>
      </c>
      <c r="G7" s="221">
        <f>F7/F$27*100</f>
        <v>0.30783639567683346</v>
      </c>
      <c r="H7" s="222">
        <f>$H$27*G7/100</f>
        <v>-326.08139709400587</v>
      </c>
      <c r="I7" s="223">
        <f t="shared" ref="I7:I26" si="0">G7</f>
        <v>0.30783639567683346</v>
      </c>
      <c r="J7" s="216">
        <v>0.307836</v>
      </c>
      <c r="K7" s="223">
        <f>I7-J7</f>
        <v>3.9567683346453109E-7</v>
      </c>
    </row>
    <row r="8" spans="2:13" x14ac:dyDescent="0.25">
      <c r="B8" s="148" t="s">
        <v>67</v>
      </c>
      <c r="C8" s="152">
        <v>4153474</v>
      </c>
      <c r="D8" s="224">
        <f t="shared" ref="D8:D26" si="1">C8/$C$27*100</f>
        <v>0.78087926920658612</v>
      </c>
      <c r="E8" s="152">
        <v>15953</v>
      </c>
      <c r="F8" s="155">
        <f t="shared" ref="F8:F26" si="2">D8*E8</f>
        <v>12457.366981652669</v>
      </c>
      <c r="G8" s="225">
        <f t="shared" ref="G8:G27" si="3">F8/F$27*100</f>
        <v>5.702375241365195E-2</v>
      </c>
      <c r="H8" s="226">
        <f t="shared" ref="H8:H26" si="4">$H$27*G8/100</f>
        <v>-60.403464683580488</v>
      </c>
      <c r="I8" s="223">
        <f t="shared" si="0"/>
        <v>5.702375241365195E-2</v>
      </c>
      <c r="J8" s="216">
        <v>5.7023999999999998E-2</v>
      </c>
      <c r="K8" s="223">
        <f t="shared" ref="K8:K26" si="5">I8-J8</f>
        <v>-2.4758634804833424E-7</v>
      </c>
    </row>
    <row r="9" spans="2:13" x14ac:dyDescent="0.25">
      <c r="B9" s="148" t="s">
        <v>68</v>
      </c>
      <c r="C9" s="152">
        <v>3784530</v>
      </c>
      <c r="D9" s="224">
        <f t="shared" si="1"/>
        <v>0.71151547371920498</v>
      </c>
      <c r="E9" s="152">
        <v>11851</v>
      </c>
      <c r="F9" s="155">
        <f t="shared" si="2"/>
        <v>8432.1698790462979</v>
      </c>
      <c r="G9" s="225">
        <f t="shared" si="3"/>
        <v>3.8598362575395471E-2</v>
      </c>
      <c r="H9" s="226">
        <f t="shared" si="4"/>
        <v>-40.886029627695301</v>
      </c>
      <c r="I9" s="223">
        <f t="shared" si="0"/>
        <v>3.8598362575395471E-2</v>
      </c>
      <c r="J9" s="216">
        <v>3.8598E-2</v>
      </c>
      <c r="K9" s="223">
        <f t="shared" si="5"/>
        <v>3.6257539547113193E-7</v>
      </c>
    </row>
    <row r="10" spans="2:13" x14ac:dyDescent="0.25">
      <c r="B10" s="148" t="s">
        <v>69</v>
      </c>
      <c r="C10" s="152">
        <v>214394286</v>
      </c>
      <c r="D10" s="224">
        <f t="shared" si="1"/>
        <v>40.307475952358871</v>
      </c>
      <c r="E10" s="152">
        <v>150250</v>
      </c>
      <c r="F10" s="155">
        <f t="shared" si="2"/>
        <v>6056198.2618419202</v>
      </c>
      <c r="G10" s="225">
        <f t="shared" si="3"/>
        <v>27.722322924249848</v>
      </c>
      <c r="H10" s="226">
        <f t="shared" si="4"/>
        <v>-29365.383420485752</v>
      </c>
      <c r="I10" s="223">
        <f t="shared" si="0"/>
        <v>27.722322924249848</v>
      </c>
      <c r="J10" s="216">
        <v>27.722322999999999</v>
      </c>
      <c r="K10" s="223">
        <f t="shared" si="5"/>
        <v>-7.5750151040665514E-8</v>
      </c>
    </row>
    <row r="11" spans="2:13" x14ac:dyDescent="0.25">
      <c r="B11" s="148" t="s">
        <v>70</v>
      </c>
      <c r="C11" s="152">
        <v>23134391</v>
      </c>
      <c r="D11" s="224">
        <f t="shared" si="1"/>
        <v>4.3494112007489205</v>
      </c>
      <c r="E11" s="152">
        <v>75520</v>
      </c>
      <c r="F11" s="155">
        <f t="shared" si="2"/>
        <v>328467.53388055851</v>
      </c>
      <c r="G11" s="225">
        <f t="shared" si="3"/>
        <v>1.5035642247285637</v>
      </c>
      <c r="H11" s="226">
        <f t="shared" si="4"/>
        <v>-1592.6782209818887</v>
      </c>
      <c r="I11" s="223">
        <f t="shared" si="0"/>
        <v>1.5035642247285637</v>
      </c>
      <c r="J11" s="216">
        <v>1.5035639999999999</v>
      </c>
      <c r="K11" s="223">
        <f t="shared" si="5"/>
        <v>2.2472856375799211E-7</v>
      </c>
    </row>
    <row r="12" spans="2:13" x14ac:dyDescent="0.25">
      <c r="B12" s="148" t="s">
        <v>71</v>
      </c>
      <c r="C12" s="152">
        <v>287635</v>
      </c>
      <c r="D12" s="224">
        <f t="shared" si="1"/>
        <v>5.4077191430170597E-2</v>
      </c>
      <c r="E12" s="152">
        <v>42514</v>
      </c>
      <c r="F12" s="155">
        <f t="shared" si="2"/>
        <v>2299.0377164622728</v>
      </c>
      <c r="G12" s="225">
        <f t="shared" si="3"/>
        <v>1.0523873762912932E-2</v>
      </c>
      <c r="H12" s="226">
        <f t="shared" si="4"/>
        <v>-11.147607975030137</v>
      </c>
      <c r="I12" s="223">
        <f t="shared" si="0"/>
        <v>1.0523873762912932E-2</v>
      </c>
      <c r="J12" s="216">
        <v>1.0524E-2</v>
      </c>
      <c r="K12" s="223">
        <f t="shared" si="5"/>
        <v>-1.2623708706832604E-7</v>
      </c>
    </row>
    <row r="13" spans="2:13" x14ac:dyDescent="0.25">
      <c r="B13" s="148" t="s">
        <v>72</v>
      </c>
      <c r="C13" s="152">
        <v>62501</v>
      </c>
      <c r="D13" s="224">
        <f t="shared" si="1"/>
        <v>1.1750581610642281E-2</v>
      </c>
      <c r="E13" s="152">
        <v>12614</v>
      </c>
      <c r="F13" s="155">
        <f t="shared" si="2"/>
        <v>148.22183643664172</v>
      </c>
      <c r="G13" s="225">
        <f t="shared" si="3"/>
        <v>6.7848730118557992E-4</v>
      </c>
      <c r="H13" s="226">
        <f t="shared" si="4"/>
        <v>-0.71870022579589743</v>
      </c>
      <c r="I13" s="223">
        <f t="shared" si="0"/>
        <v>6.7848730118557992E-4</v>
      </c>
      <c r="J13" s="216">
        <v>6.78E-4</v>
      </c>
      <c r="K13" s="223">
        <f t="shared" si="5"/>
        <v>4.873011855799185E-7</v>
      </c>
    </row>
    <row r="14" spans="2:13" x14ac:dyDescent="0.25">
      <c r="B14" s="148" t="s">
        <v>73</v>
      </c>
      <c r="C14" s="152">
        <v>14390923</v>
      </c>
      <c r="D14" s="224">
        <f t="shared" si="1"/>
        <v>2.7055841532770524</v>
      </c>
      <c r="E14" s="152">
        <v>29416</v>
      </c>
      <c r="F14" s="155">
        <f t="shared" si="2"/>
        <v>79587.463452797776</v>
      </c>
      <c r="G14" s="225">
        <f t="shared" si="3"/>
        <v>0.36431260456941483</v>
      </c>
      <c r="H14" s="226">
        <f t="shared" si="4"/>
        <v>-385.90486617333721</v>
      </c>
      <c r="I14" s="223">
        <f t="shared" si="0"/>
        <v>0.36431260456941483</v>
      </c>
      <c r="J14" s="216">
        <v>0.364313</v>
      </c>
      <c r="K14" s="223">
        <f t="shared" si="5"/>
        <v>-3.9543058516500196E-7</v>
      </c>
      <c r="M14" s="94"/>
    </row>
    <row r="15" spans="2:13" x14ac:dyDescent="0.25">
      <c r="B15" s="148" t="s">
        <v>74</v>
      </c>
      <c r="C15" s="152">
        <v>4206319</v>
      </c>
      <c r="D15" s="224">
        <f t="shared" si="1"/>
        <v>0.79081446200693162</v>
      </c>
      <c r="E15" s="152">
        <v>18580</v>
      </c>
      <c r="F15" s="155">
        <f t="shared" si="2"/>
        <v>14693.332704088789</v>
      </c>
      <c r="G15" s="225">
        <f t="shared" si="3"/>
        <v>6.725891333886172E-2</v>
      </c>
      <c r="H15" s="226">
        <f t="shared" si="4"/>
        <v>-71.245248244086056</v>
      </c>
      <c r="I15" s="223">
        <f t="shared" si="0"/>
        <v>6.725891333886172E-2</v>
      </c>
      <c r="J15" s="216">
        <v>6.7258999999999999E-2</v>
      </c>
      <c r="K15" s="223">
        <f t="shared" si="5"/>
        <v>-8.6661138279375827E-8</v>
      </c>
    </row>
    <row r="16" spans="2:13" x14ac:dyDescent="0.25">
      <c r="B16" s="148" t="s">
        <v>75</v>
      </c>
      <c r="C16" s="152">
        <v>619298</v>
      </c>
      <c r="D16" s="224">
        <f t="shared" si="1"/>
        <v>0.11643192413413456</v>
      </c>
      <c r="E16" s="152">
        <v>14315</v>
      </c>
      <c r="F16" s="155">
        <f t="shared" si="2"/>
        <v>1666.7229939801362</v>
      </c>
      <c r="G16" s="225">
        <f t="shared" si="3"/>
        <v>7.6294452504163963E-3</v>
      </c>
      <c r="H16" s="226">
        <f t="shared" si="4"/>
        <v>-8.0816310262407018</v>
      </c>
      <c r="I16" s="223">
        <f t="shared" si="0"/>
        <v>7.6294452504163963E-3</v>
      </c>
      <c r="J16" s="216">
        <v>7.6290000000000004E-3</v>
      </c>
      <c r="K16" s="223">
        <f t="shared" si="5"/>
        <v>4.4525041639591201E-7</v>
      </c>
    </row>
    <row r="17" spans="2:11" x14ac:dyDescent="0.25">
      <c r="B17" s="148" t="s">
        <v>76</v>
      </c>
      <c r="C17" s="152">
        <v>1819462</v>
      </c>
      <c r="D17" s="224">
        <f t="shared" si="1"/>
        <v>0.34207031437036889</v>
      </c>
      <c r="E17" s="152">
        <v>33901</v>
      </c>
      <c r="F17" s="155">
        <f t="shared" si="2"/>
        <v>11596.525727469876</v>
      </c>
      <c r="G17" s="225">
        <f t="shared" si="3"/>
        <v>5.3083240857857296E-2</v>
      </c>
      <c r="H17" s="226">
        <f t="shared" si="4"/>
        <v>-56.229404918641215</v>
      </c>
      <c r="I17" s="223">
        <f t="shared" si="0"/>
        <v>5.3083240857857296E-2</v>
      </c>
      <c r="J17" s="216">
        <v>5.3082999999999998E-2</v>
      </c>
      <c r="K17" s="223">
        <f t="shared" si="5"/>
        <v>2.4085785729766052E-7</v>
      </c>
    </row>
    <row r="18" spans="2:11" x14ac:dyDescent="0.25">
      <c r="B18" s="148" t="s">
        <v>77</v>
      </c>
      <c r="C18" s="152">
        <v>1893758</v>
      </c>
      <c r="D18" s="224">
        <f t="shared" si="1"/>
        <v>0.35603843026202314</v>
      </c>
      <c r="E18" s="152">
        <v>24743</v>
      </c>
      <c r="F18" s="155">
        <f t="shared" si="2"/>
        <v>8809.4588799732392</v>
      </c>
      <c r="G18" s="225">
        <f t="shared" si="3"/>
        <v>4.0325407673202952E-2</v>
      </c>
      <c r="H18" s="226">
        <f t="shared" si="4"/>
        <v>-42.715434097882181</v>
      </c>
      <c r="I18" s="223">
        <f t="shared" si="0"/>
        <v>4.0325407673202952E-2</v>
      </c>
      <c r="J18" s="216">
        <v>4.0325E-2</v>
      </c>
      <c r="K18" s="223">
        <f t="shared" si="5"/>
        <v>4.0767320295259646E-7</v>
      </c>
    </row>
    <row r="19" spans="2:11" x14ac:dyDescent="0.25">
      <c r="B19" s="148" t="s">
        <v>78</v>
      </c>
      <c r="C19" s="152">
        <v>4000518</v>
      </c>
      <c r="D19" s="224">
        <f t="shared" si="1"/>
        <v>0.75212257794024795</v>
      </c>
      <c r="E19" s="152">
        <v>43979</v>
      </c>
      <c r="F19" s="155">
        <f t="shared" si="2"/>
        <v>33077.598855234166</v>
      </c>
      <c r="G19" s="225">
        <f t="shared" si="3"/>
        <v>0.15141312047216696</v>
      </c>
      <c r="H19" s="226">
        <f t="shared" si="4"/>
        <v>-160.38714900287158</v>
      </c>
      <c r="I19" s="223">
        <f t="shared" si="0"/>
        <v>0.15141312047216696</v>
      </c>
      <c r="J19" s="216">
        <v>0.15141299999999999</v>
      </c>
      <c r="K19" s="223">
        <f t="shared" si="5"/>
        <v>1.2047216696453589E-7</v>
      </c>
    </row>
    <row r="20" spans="2:11" x14ac:dyDescent="0.25">
      <c r="B20" s="148" t="s">
        <v>79</v>
      </c>
      <c r="C20" s="152">
        <v>1219342</v>
      </c>
      <c r="D20" s="224">
        <f t="shared" si="1"/>
        <v>0.22924397501294028</v>
      </c>
      <c r="E20" s="152">
        <v>7499</v>
      </c>
      <c r="F20" s="155">
        <f t="shared" si="2"/>
        <v>1719.1005686220392</v>
      </c>
      <c r="G20" s="225">
        <f t="shared" si="3"/>
        <v>7.8692042502761898E-3</v>
      </c>
      <c r="H20" s="226">
        <f t="shared" si="4"/>
        <v>-8.3356001823836845</v>
      </c>
      <c r="I20" s="223">
        <f t="shared" si="0"/>
        <v>7.8692042502761898E-3</v>
      </c>
      <c r="J20" s="216">
        <v>7.8689999999999993E-3</v>
      </c>
      <c r="K20" s="223">
        <f t="shared" si="5"/>
        <v>2.0425027619057345E-7</v>
      </c>
    </row>
    <row r="21" spans="2:11" x14ac:dyDescent="0.25">
      <c r="B21" s="148" t="s">
        <v>80</v>
      </c>
      <c r="C21" s="152">
        <v>4314653</v>
      </c>
      <c r="D21" s="224">
        <f t="shared" si="1"/>
        <v>0.81118193625866075</v>
      </c>
      <c r="E21" s="152">
        <v>23477</v>
      </c>
      <c r="F21" s="155">
        <f t="shared" si="2"/>
        <v>19044.118317544577</v>
      </c>
      <c r="G21" s="225">
        <f t="shared" si="3"/>
        <v>8.7174688638086903E-2</v>
      </c>
      <c r="H21" s="226">
        <f t="shared" si="4"/>
        <v>-92.341401671633363</v>
      </c>
      <c r="I21" s="223">
        <f t="shared" si="0"/>
        <v>8.7174688638086903E-2</v>
      </c>
      <c r="J21" s="216">
        <v>8.7175000000000002E-2</v>
      </c>
      <c r="K21" s="223">
        <f t="shared" si="5"/>
        <v>-3.1136191309955041E-7</v>
      </c>
    </row>
    <row r="22" spans="2:11" x14ac:dyDescent="0.25">
      <c r="B22" s="148" t="s">
        <v>81</v>
      </c>
      <c r="C22" s="152">
        <v>15229971</v>
      </c>
      <c r="D22" s="224">
        <f t="shared" si="1"/>
        <v>2.8633304613240629</v>
      </c>
      <c r="E22" s="152">
        <v>97820</v>
      </c>
      <c r="F22" s="155">
        <f t="shared" si="2"/>
        <v>280090.98572671984</v>
      </c>
      <c r="G22" s="225">
        <f t="shared" si="3"/>
        <v>1.2821199734181128</v>
      </c>
      <c r="H22" s="226">
        <f t="shared" si="4"/>
        <v>-1358.1093010626441</v>
      </c>
      <c r="I22" s="223">
        <f t="shared" si="0"/>
        <v>1.2821199734181128</v>
      </c>
      <c r="J22" s="216">
        <v>1.2821199999999999</v>
      </c>
      <c r="K22" s="223">
        <f t="shared" si="5"/>
        <v>-2.658188713589027E-8</v>
      </c>
    </row>
    <row r="23" spans="2:11" x14ac:dyDescent="0.25">
      <c r="B23" s="148" t="s">
        <v>82</v>
      </c>
      <c r="C23" s="152">
        <v>11548623</v>
      </c>
      <c r="D23" s="224">
        <f t="shared" si="1"/>
        <v>2.1712138534109933</v>
      </c>
      <c r="E23" s="152">
        <v>39718</v>
      </c>
      <c r="F23" s="155">
        <f t="shared" si="2"/>
        <v>86236.271829777834</v>
      </c>
      <c r="G23" s="225">
        <f t="shared" si="3"/>
        <v>0.39474760767184625</v>
      </c>
      <c r="H23" s="226">
        <f t="shared" si="4"/>
        <v>-418.14370625714508</v>
      </c>
      <c r="I23" s="223">
        <f t="shared" si="0"/>
        <v>0.39474760767184625</v>
      </c>
      <c r="J23" s="216">
        <v>0.39474799999999999</v>
      </c>
      <c r="K23" s="223">
        <f t="shared" si="5"/>
        <v>-3.9232815374212748E-7</v>
      </c>
    </row>
    <row r="24" spans="2:11" x14ac:dyDescent="0.25">
      <c r="B24" s="148" t="s">
        <v>83</v>
      </c>
      <c r="C24" s="152">
        <v>186622629</v>
      </c>
      <c r="D24" s="224">
        <f t="shared" si="1"/>
        <v>35.086229539641238</v>
      </c>
      <c r="E24" s="152">
        <v>413608</v>
      </c>
      <c r="F24" s="155">
        <f t="shared" si="2"/>
        <v>14511945.227431932</v>
      </c>
      <c r="G24" s="225">
        <f t="shared" si="3"/>
        <v>66.428609906759945</v>
      </c>
      <c r="H24" s="226">
        <f t="shared" si="4"/>
        <v>-70365.733973018752</v>
      </c>
      <c r="I24" s="223">
        <f t="shared" si="0"/>
        <v>66.428609906759945</v>
      </c>
      <c r="J24" s="216">
        <v>66.428610000000006</v>
      </c>
      <c r="K24" s="223">
        <f t="shared" si="5"/>
        <v>-9.3240061005417374E-8</v>
      </c>
    </row>
    <row r="25" spans="2:11" x14ac:dyDescent="0.25">
      <c r="B25" s="148" t="s">
        <v>84</v>
      </c>
      <c r="C25" s="152">
        <v>1666341</v>
      </c>
      <c r="D25" s="224">
        <f t="shared" si="1"/>
        <v>0.31328260206491532</v>
      </c>
      <c r="E25" s="152">
        <v>30565</v>
      </c>
      <c r="F25" s="155">
        <f t="shared" si="2"/>
        <v>9575.4827321141365</v>
      </c>
      <c r="G25" s="225">
        <f t="shared" si="3"/>
        <v>4.3831891390971649E-2</v>
      </c>
      <c r="H25" s="226">
        <f t="shared" si="4"/>
        <v>-46.429741845877452</v>
      </c>
      <c r="I25" s="223">
        <f t="shared" si="0"/>
        <v>4.3831891390971649E-2</v>
      </c>
      <c r="J25" s="216">
        <v>4.3832000000000003E-2</v>
      </c>
      <c r="K25" s="223">
        <f t="shared" si="5"/>
        <v>-1.0860902835418962E-7</v>
      </c>
    </row>
    <row r="26" spans="2:11" ht="15.75" thickBot="1" x14ac:dyDescent="0.3">
      <c r="B26" s="148" t="s">
        <v>85</v>
      </c>
      <c r="C26" s="164">
        <v>28960943</v>
      </c>
      <c r="D26" s="227">
        <f t="shared" si="1"/>
        <v>5.4448396704478217</v>
      </c>
      <c r="E26" s="164">
        <v>57418</v>
      </c>
      <c r="F26" s="155">
        <f t="shared" si="2"/>
        <v>312631.80419777305</v>
      </c>
      <c r="G26" s="225">
        <f t="shared" si="3"/>
        <v>1.4310759750004596</v>
      </c>
      <c r="H26" s="226">
        <f t="shared" si="4"/>
        <v>-1515.8937014247745</v>
      </c>
      <c r="I26" s="223">
        <f t="shared" si="0"/>
        <v>1.4310759750004596</v>
      </c>
      <c r="J26" s="216">
        <v>1.431076</v>
      </c>
      <c r="K26" s="223">
        <f t="shared" si="5"/>
        <v>-2.4999540437775636E-8</v>
      </c>
    </row>
    <row r="27" spans="2:11" ht="15.75" thickBot="1" x14ac:dyDescent="0.3">
      <c r="B27" s="228" t="s">
        <v>86</v>
      </c>
      <c r="C27" s="229">
        <f t="shared" ref="C27:F27" si="6">SUM(C7:C26)</f>
        <v>531897076</v>
      </c>
      <c r="D27" s="230">
        <f t="shared" si="6"/>
        <v>100</v>
      </c>
      <c r="E27" s="229">
        <f t="shared" si="6"/>
        <v>1181050</v>
      </c>
      <c r="F27" s="231">
        <f t="shared" si="6"/>
        <v>21845926.397979859</v>
      </c>
      <c r="G27" s="232">
        <f t="shared" si="3"/>
        <v>100</v>
      </c>
      <c r="H27" s="233">
        <f>Datos!M33</f>
        <v>-105926.85</v>
      </c>
      <c r="I27" s="234">
        <f t="shared" ref="I27:K27" si="7">SUM(I7:I26)</f>
        <v>100</v>
      </c>
      <c r="J27" s="233">
        <f t="shared" si="7"/>
        <v>99.999999000000003</v>
      </c>
      <c r="K27" s="233">
        <f t="shared" si="7"/>
        <v>1.0000000046981976E-6</v>
      </c>
    </row>
    <row r="28" spans="2:11" x14ac:dyDescent="0.25">
      <c r="B28" s="118" t="s">
        <v>87</v>
      </c>
      <c r="C28" s="63"/>
      <c r="D28" s="63"/>
      <c r="E28" s="188"/>
      <c r="F28" s="188"/>
    </row>
    <row r="29" spans="2:11" x14ac:dyDescent="0.25">
      <c r="B29" s="125" t="s">
        <v>230</v>
      </c>
      <c r="C29" s="63"/>
      <c r="D29" s="63"/>
      <c r="E29" s="188"/>
      <c r="F29" s="188"/>
    </row>
    <row r="34" spans="4:8" x14ac:dyDescent="0.25">
      <c r="D34" s="383"/>
      <c r="E34" s="383"/>
      <c r="F34" s="383"/>
      <c r="G34" s="383"/>
      <c r="H34" s="383"/>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FF00"/>
    <pageSetUpPr fitToPage="1"/>
  </sheetPr>
  <dimension ref="B2:AH116"/>
  <sheetViews>
    <sheetView topLeftCell="B1" zoomScale="78" zoomScaleNormal="78" workbookViewId="0">
      <selection activeCell="L34" sqref="L34"/>
    </sheetView>
  </sheetViews>
  <sheetFormatPr baseColWidth="10" defaultRowHeight="15" x14ac:dyDescent="0.25"/>
  <cols>
    <col min="1" max="1" width="9.44140625" style="65" customWidth="1"/>
    <col min="2" max="2" width="5.5546875" style="235" customWidth="1"/>
    <col min="3" max="3" width="21.6640625" style="65" customWidth="1"/>
    <col min="4" max="4" width="12.77734375" style="65" customWidth="1"/>
    <col min="5" max="7" width="13.21875" style="65" customWidth="1"/>
    <col min="8" max="8" width="13.21875" style="65" bestFit="1" customWidth="1"/>
    <col min="9" max="9" width="16.21875" style="64" customWidth="1"/>
    <col min="10" max="10" width="10.44140625" style="64" customWidth="1"/>
    <col min="11" max="11" width="15.33203125" style="65" customWidth="1"/>
    <col min="12" max="12" width="16" style="94" bestFit="1" customWidth="1"/>
    <col min="13" max="16" width="13.21875" style="94" customWidth="1"/>
    <col min="17" max="22" width="13.21875" style="94" bestFit="1" customWidth="1"/>
    <col min="23" max="23" width="20.5546875" style="94" hidden="1" customWidth="1"/>
    <col min="24" max="26" width="13.21875" style="94" hidden="1" customWidth="1"/>
    <col min="27" max="27" width="10.33203125" style="276" hidden="1" customWidth="1"/>
    <col min="28" max="28" width="12.5546875" style="94" hidden="1" customWidth="1"/>
    <col min="29" max="29" width="14.33203125" style="94" bestFit="1" customWidth="1"/>
    <col min="30" max="30" width="14.33203125" style="65" customWidth="1"/>
    <col min="31" max="31" width="11.6640625" style="65" bestFit="1" customWidth="1"/>
    <col min="32" max="16384" width="11.5546875" style="65"/>
  </cols>
  <sheetData>
    <row r="2" spans="2:16" x14ac:dyDescent="0.25">
      <c r="C2" s="63"/>
      <c r="D2" s="63"/>
      <c r="E2" s="63"/>
      <c r="F2" s="63"/>
      <c r="G2" s="63"/>
      <c r="H2" s="63"/>
      <c r="K2" s="66"/>
    </row>
    <row r="3" spans="2:16" x14ac:dyDescent="0.25">
      <c r="C3" s="63"/>
      <c r="D3" s="63"/>
      <c r="E3" s="63"/>
      <c r="F3" s="63"/>
      <c r="G3" s="63"/>
      <c r="H3" s="63"/>
      <c r="I3" s="188"/>
      <c r="J3" s="188"/>
    </row>
    <row r="4" spans="2:16" ht="15.75" thickBot="1" x14ac:dyDescent="0.3">
      <c r="C4" s="394" t="s">
        <v>129</v>
      </c>
      <c r="D4" s="394"/>
      <c r="E4" s="394"/>
      <c r="F4" s="394"/>
      <c r="G4" s="394"/>
      <c r="H4" s="394"/>
      <c r="I4" s="394"/>
      <c r="J4" s="394"/>
      <c r="K4" s="394"/>
    </row>
    <row r="5" spans="2:16" x14ac:dyDescent="0.25">
      <c r="B5" s="395" t="s">
        <v>130</v>
      </c>
      <c r="C5" s="396"/>
      <c r="D5" s="396"/>
      <c r="E5" s="396"/>
      <c r="F5" s="396"/>
      <c r="G5" s="396"/>
      <c r="H5" s="396"/>
      <c r="I5" s="396"/>
      <c r="J5" s="396"/>
      <c r="K5" s="396"/>
      <c r="L5" s="310" t="s">
        <v>221</v>
      </c>
    </row>
    <row r="6" spans="2:16" ht="15.75" thickBot="1" x14ac:dyDescent="0.3">
      <c r="B6" s="397" t="s">
        <v>131</v>
      </c>
      <c r="C6" s="398"/>
      <c r="D6" s="398"/>
      <c r="E6" s="398"/>
      <c r="F6" s="398"/>
      <c r="G6" s="398"/>
      <c r="H6" s="399"/>
      <c r="I6" s="236"/>
      <c r="J6" s="237"/>
      <c r="K6" s="238" t="s">
        <v>132</v>
      </c>
    </row>
    <row r="7" spans="2:16" ht="15.75" thickBot="1" x14ac:dyDescent="0.3">
      <c r="B7" s="239"/>
      <c r="C7" s="189"/>
      <c r="D7" s="240"/>
      <c r="E7" s="240"/>
      <c r="F7" s="241"/>
      <c r="G7" s="242"/>
      <c r="H7" s="243"/>
      <c r="I7" s="244"/>
      <c r="J7" s="245"/>
      <c r="K7" s="246"/>
      <c r="M7" s="247">
        <v>79519983.979999989</v>
      </c>
      <c r="N7" s="248"/>
    </row>
    <row r="8" spans="2:16" ht="15.75" thickBot="1" x14ac:dyDescent="0.3">
      <c r="B8" s="400" t="s">
        <v>133</v>
      </c>
      <c r="C8" s="401"/>
      <c r="D8" s="401"/>
      <c r="E8" s="401"/>
      <c r="F8" s="401"/>
      <c r="G8" s="401"/>
      <c r="H8" s="401"/>
      <c r="I8" s="401"/>
      <c r="J8" s="401"/>
      <c r="K8" s="401"/>
      <c r="M8" s="249">
        <v>0.22500000000000001</v>
      </c>
      <c r="N8" s="250"/>
    </row>
    <row r="9" spans="2:16" x14ac:dyDescent="0.25">
      <c r="B9" s="251">
        <v>1</v>
      </c>
      <c r="C9" s="389" t="s">
        <v>134</v>
      </c>
      <c r="D9" s="390"/>
      <c r="E9" s="390"/>
      <c r="F9" s="390"/>
      <c r="G9" s="390"/>
      <c r="H9" s="391"/>
      <c r="I9" s="252"/>
      <c r="J9" s="253"/>
      <c r="K9" s="247">
        <v>437696804</v>
      </c>
      <c r="L9" s="248">
        <v>809295</v>
      </c>
      <c r="M9" s="254">
        <f>M7/M8</f>
        <v>353422151.02222216</v>
      </c>
      <c r="N9" s="160"/>
      <c r="O9" s="255"/>
      <c r="P9" s="255"/>
    </row>
    <row r="10" spans="2:16" x14ac:dyDescent="0.25">
      <c r="B10" s="251">
        <v>2</v>
      </c>
      <c r="C10" s="389" t="s">
        <v>135</v>
      </c>
      <c r="D10" s="390"/>
      <c r="E10" s="390"/>
      <c r="F10" s="390"/>
      <c r="G10" s="390"/>
      <c r="H10" s="391"/>
      <c r="I10" s="392">
        <v>353422151</v>
      </c>
      <c r="J10" s="393"/>
      <c r="K10" s="393"/>
      <c r="L10" s="256">
        <f>L9*22.5%</f>
        <v>182091.375</v>
      </c>
      <c r="M10" s="254">
        <f>M9/100</f>
        <v>3534221.5102222217</v>
      </c>
      <c r="N10" s="160"/>
    </row>
    <row r="11" spans="2:16" x14ac:dyDescent="0.25">
      <c r="B11" s="251">
        <v>3</v>
      </c>
      <c r="C11" s="257" t="s">
        <v>136</v>
      </c>
      <c r="D11" s="255"/>
      <c r="E11" s="255"/>
      <c r="F11" s="255"/>
      <c r="G11" s="255"/>
      <c r="H11" s="258"/>
      <c r="I11" s="259"/>
      <c r="J11" s="260"/>
      <c r="K11" s="248">
        <f>K9-I10</f>
        <v>84274653</v>
      </c>
      <c r="L11" s="261"/>
    </row>
    <row r="12" spans="2:16" x14ac:dyDescent="0.25">
      <c r="B12" s="251">
        <v>4</v>
      </c>
      <c r="C12" s="389" t="s">
        <v>137</v>
      </c>
      <c r="D12" s="390"/>
      <c r="E12" s="390"/>
      <c r="F12" s="390"/>
      <c r="G12" s="390"/>
      <c r="H12" s="391"/>
      <c r="I12" s="402">
        <f>K11*22.5%</f>
        <v>18961796.925000001</v>
      </c>
      <c r="J12" s="403"/>
      <c r="K12" s="403"/>
      <c r="L12" s="261"/>
      <c r="N12" s="160">
        <f>K9-I10</f>
        <v>84274653</v>
      </c>
    </row>
    <row r="13" spans="2:16" x14ac:dyDescent="0.25">
      <c r="B13" s="251">
        <v>5</v>
      </c>
      <c r="C13" s="389" t="s">
        <v>138</v>
      </c>
      <c r="D13" s="390"/>
      <c r="E13" s="390"/>
      <c r="F13" s="390"/>
      <c r="G13" s="390"/>
      <c r="H13" s="391"/>
      <c r="I13" s="402">
        <f>I10*22.5%</f>
        <v>79519983.975000009</v>
      </c>
      <c r="J13" s="403"/>
      <c r="K13" s="403"/>
      <c r="L13" s="261"/>
    </row>
    <row r="14" spans="2:16" ht="15.75" thickBot="1" x14ac:dyDescent="0.3">
      <c r="B14" s="251">
        <v>6</v>
      </c>
      <c r="C14" s="389" t="s">
        <v>139</v>
      </c>
      <c r="D14" s="390"/>
      <c r="E14" s="390"/>
      <c r="F14" s="390"/>
      <c r="G14" s="390"/>
      <c r="H14" s="391"/>
      <c r="I14" s="404"/>
      <c r="J14" s="405"/>
      <c r="K14" s="405"/>
      <c r="L14" s="261"/>
    </row>
    <row r="15" spans="2:16" x14ac:dyDescent="0.25">
      <c r="B15" s="262"/>
      <c r="C15" s="406" t="s">
        <v>140</v>
      </c>
      <c r="D15" s="407"/>
      <c r="E15" s="407"/>
      <c r="F15" s="407"/>
      <c r="G15" s="407"/>
      <c r="H15" s="407"/>
      <c r="I15" s="408">
        <f>I12*60%</f>
        <v>11377078.154999999</v>
      </c>
      <c r="J15" s="408"/>
      <c r="K15" s="409"/>
      <c r="L15" s="256">
        <f>L10*60%</f>
        <v>109254.825</v>
      </c>
    </row>
    <row r="16" spans="2:16" x14ac:dyDescent="0.25">
      <c r="B16" s="262"/>
      <c r="C16" s="410" t="s">
        <v>141</v>
      </c>
      <c r="D16" s="411"/>
      <c r="E16" s="411"/>
      <c r="F16" s="411"/>
      <c r="G16" s="411"/>
      <c r="H16" s="411"/>
      <c r="I16" s="412">
        <f>I12*30%</f>
        <v>5688539.0774999997</v>
      </c>
      <c r="J16" s="412"/>
      <c r="K16" s="413"/>
      <c r="L16" s="256">
        <f>L10*30%</f>
        <v>54627.412499999999</v>
      </c>
    </row>
    <row r="17" spans="2:17" x14ac:dyDescent="0.25">
      <c r="B17" s="262"/>
      <c r="C17" s="410" t="s">
        <v>142</v>
      </c>
      <c r="D17" s="411"/>
      <c r="E17" s="411"/>
      <c r="F17" s="411"/>
      <c r="G17" s="411"/>
      <c r="H17" s="411"/>
      <c r="I17" s="412">
        <f>I12*10%</f>
        <v>1896179.6925000001</v>
      </c>
      <c r="J17" s="412"/>
      <c r="K17" s="413"/>
      <c r="L17" s="256">
        <f>L10*10%</f>
        <v>18209.137500000001</v>
      </c>
    </row>
    <row r="18" spans="2:17" x14ac:dyDescent="0.25">
      <c r="B18" s="262"/>
      <c r="C18" s="410" t="s">
        <v>143</v>
      </c>
      <c r="D18" s="411"/>
      <c r="E18" s="411"/>
      <c r="F18" s="411"/>
      <c r="G18" s="411"/>
      <c r="H18" s="411"/>
      <c r="I18" s="263">
        <f>SUM(I15:I17)</f>
        <v>18961796.924999997</v>
      </c>
      <c r="J18" s="263"/>
      <c r="K18" s="264">
        <f>SUM(I18)</f>
        <v>18961796.924999997</v>
      </c>
      <c r="L18" s="256">
        <f>SUM(L15:L17)</f>
        <v>182091.375</v>
      </c>
    </row>
    <row r="19" spans="2:17" ht="15.75" thickBot="1" x14ac:dyDescent="0.3">
      <c r="B19" s="265">
        <v>6</v>
      </c>
      <c r="C19" s="414" t="s">
        <v>144</v>
      </c>
      <c r="D19" s="415"/>
      <c r="E19" s="415"/>
      <c r="F19" s="415"/>
      <c r="G19" s="415"/>
      <c r="H19" s="415"/>
      <c r="I19" s="416">
        <f>I12+I13</f>
        <v>98481780.900000006</v>
      </c>
      <c r="J19" s="416"/>
      <c r="K19" s="417"/>
      <c r="L19" s="256"/>
    </row>
    <row r="20" spans="2:17" ht="11.25" customHeight="1" thickBot="1" x14ac:dyDescent="0.3">
      <c r="B20" s="266"/>
      <c r="C20" s="390"/>
      <c r="D20" s="390"/>
      <c r="E20" s="390"/>
      <c r="F20" s="390"/>
      <c r="G20" s="390"/>
      <c r="H20" s="390"/>
      <c r="I20" s="418"/>
      <c r="J20" s="405"/>
      <c r="K20" s="405"/>
      <c r="L20" s="256"/>
    </row>
    <row r="21" spans="2:17" ht="15.75" thickBot="1" x14ac:dyDescent="0.3">
      <c r="B21" s="400" t="s">
        <v>145</v>
      </c>
      <c r="C21" s="401"/>
      <c r="D21" s="401"/>
      <c r="E21" s="401"/>
      <c r="F21" s="401"/>
      <c r="G21" s="401"/>
      <c r="H21" s="401"/>
      <c r="I21" s="401"/>
      <c r="J21" s="401"/>
      <c r="K21" s="401"/>
      <c r="L21" s="256"/>
    </row>
    <row r="22" spans="2:17" x14ac:dyDescent="0.25">
      <c r="B22" s="267">
        <v>7</v>
      </c>
      <c r="C22" s="390" t="s">
        <v>146</v>
      </c>
      <c r="D22" s="390"/>
      <c r="E22" s="390"/>
      <c r="F22" s="390"/>
      <c r="G22" s="390"/>
      <c r="H22" s="390"/>
      <c r="I22" s="268"/>
      <c r="J22" s="260"/>
      <c r="K22" s="247">
        <v>39036286</v>
      </c>
      <c r="L22" s="256">
        <v>83842.999999999985</v>
      </c>
    </row>
    <row r="23" spans="2:17" x14ac:dyDescent="0.25">
      <c r="B23" s="267">
        <v>8</v>
      </c>
      <c r="C23" s="390" t="s">
        <v>147</v>
      </c>
      <c r="D23" s="390"/>
      <c r="E23" s="390"/>
      <c r="F23" s="390"/>
      <c r="G23" s="390"/>
      <c r="H23" s="390"/>
      <c r="I23" s="268"/>
      <c r="J23" s="260"/>
      <c r="K23" s="247">
        <v>35431649</v>
      </c>
      <c r="L23" s="261"/>
    </row>
    <row r="24" spans="2:17" x14ac:dyDescent="0.25">
      <c r="B24" s="267">
        <v>9</v>
      </c>
      <c r="C24" s="255" t="s">
        <v>148</v>
      </c>
      <c r="D24" s="255"/>
      <c r="E24" s="255"/>
      <c r="F24" s="255"/>
      <c r="G24" s="255"/>
      <c r="H24" s="255"/>
      <c r="I24" s="268"/>
      <c r="J24" s="260"/>
      <c r="K24" s="248">
        <f>K22-K23</f>
        <v>3604637</v>
      </c>
      <c r="L24" s="261"/>
    </row>
    <row r="25" spans="2:17" x14ac:dyDescent="0.25">
      <c r="B25" s="267">
        <v>10</v>
      </c>
      <c r="C25" s="390" t="s">
        <v>149</v>
      </c>
      <c r="D25" s="390"/>
      <c r="E25" s="390"/>
      <c r="F25" s="390"/>
      <c r="G25" s="390"/>
      <c r="H25" s="390"/>
      <c r="I25" s="268"/>
      <c r="J25" s="260"/>
      <c r="K25" s="248">
        <f>K24</f>
        <v>3604637</v>
      </c>
      <c r="L25" s="261"/>
    </row>
    <row r="26" spans="2:17" x14ac:dyDescent="0.25">
      <c r="B26" s="262"/>
      <c r="C26" s="411" t="s">
        <v>150</v>
      </c>
      <c r="D26" s="411"/>
      <c r="E26" s="411"/>
      <c r="F26" s="411"/>
      <c r="G26" s="411"/>
      <c r="H26" s="411"/>
      <c r="I26" s="269"/>
      <c r="J26" s="269"/>
      <c r="K26" s="263">
        <f>K25-K29</f>
        <v>2408492</v>
      </c>
      <c r="L26" s="256"/>
    </row>
    <row r="27" spans="2:17" x14ac:dyDescent="0.25">
      <c r="B27" s="262"/>
      <c r="C27" s="420">
        <v>0.5</v>
      </c>
      <c r="D27" s="411"/>
      <c r="E27" s="411"/>
      <c r="F27" s="411"/>
      <c r="G27" s="411"/>
      <c r="H27" s="411"/>
      <c r="I27" s="269"/>
      <c r="J27" s="269"/>
      <c r="K27" s="263">
        <f>K26*0.5</f>
        <v>1204246</v>
      </c>
      <c r="L27" s="256">
        <f>L22*C27</f>
        <v>41921.499999999993</v>
      </c>
    </row>
    <row r="28" spans="2:17" x14ac:dyDescent="0.25">
      <c r="B28" s="262"/>
      <c r="C28" s="420">
        <v>0.5</v>
      </c>
      <c r="D28" s="411"/>
      <c r="E28" s="411"/>
      <c r="F28" s="411"/>
      <c r="G28" s="411"/>
      <c r="H28" s="411"/>
      <c r="I28" s="269"/>
      <c r="J28" s="269"/>
      <c r="K28" s="263">
        <f>K26*0.5</f>
        <v>1204246</v>
      </c>
      <c r="L28" s="256">
        <f>L22*C28</f>
        <v>41921.499999999993</v>
      </c>
    </row>
    <row r="29" spans="2:17" x14ac:dyDescent="0.25">
      <c r="B29" s="262"/>
      <c r="C29" s="411" t="s">
        <v>151</v>
      </c>
      <c r="D29" s="411"/>
      <c r="E29" s="411"/>
      <c r="F29" s="411"/>
      <c r="G29" s="411"/>
      <c r="H29" s="411"/>
      <c r="I29" s="269"/>
      <c r="J29" s="269"/>
      <c r="K29" s="263">
        <v>1196145</v>
      </c>
      <c r="L29" s="256"/>
    </row>
    <row r="30" spans="2:17" ht="15.75" thickBot="1" x14ac:dyDescent="0.3">
      <c r="B30" s="265">
        <v>8</v>
      </c>
      <c r="C30" s="415" t="s">
        <v>152</v>
      </c>
      <c r="D30" s="415"/>
      <c r="E30" s="415"/>
      <c r="F30" s="415"/>
      <c r="G30" s="415"/>
      <c r="H30" s="415"/>
      <c r="I30" s="270"/>
      <c r="J30" s="270"/>
      <c r="K30" s="271">
        <f>K23+K24</f>
        <v>39036286</v>
      </c>
      <c r="L30" s="256">
        <f>SUM(L27:L29)</f>
        <v>83842.999999999985</v>
      </c>
      <c r="O30" s="94">
        <v>437696804</v>
      </c>
    </row>
    <row r="31" spans="2:17" ht="15.75" thickBot="1" x14ac:dyDescent="0.3">
      <c r="B31" s="266"/>
      <c r="C31" s="272"/>
      <c r="D31" s="128"/>
      <c r="E31" s="128"/>
      <c r="F31" s="128"/>
      <c r="G31" s="128"/>
      <c r="H31" s="273"/>
      <c r="I31" s="268"/>
      <c r="J31" s="260"/>
      <c r="K31" s="260"/>
      <c r="L31" s="261"/>
    </row>
    <row r="32" spans="2:17" ht="15.75" thickBot="1" x14ac:dyDescent="0.3">
      <c r="B32" s="400" t="s">
        <v>153</v>
      </c>
      <c r="C32" s="401"/>
      <c r="D32" s="401"/>
      <c r="E32" s="401"/>
      <c r="F32" s="401"/>
      <c r="G32" s="401"/>
      <c r="H32" s="401"/>
      <c r="I32" s="401"/>
      <c r="J32" s="401"/>
      <c r="K32" s="401"/>
      <c r="L32" s="419" t="s">
        <v>154</v>
      </c>
      <c r="M32" s="419"/>
      <c r="Q32" s="94">
        <v>79519983.979999989</v>
      </c>
    </row>
    <row r="33" spans="2:17" x14ac:dyDescent="0.25">
      <c r="B33" s="266">
        <v>9</v>
      </c>
      <c r="C33" s="390" t="s">
        <v>155</v>
      </c>
      <c r="D33" s="390"/>
      <c r="E33" s="390"/>
      <c r="F33" s="390"/>
      <c r="G33" s="390"/>
      <c r="H33" s="390"/>
      <c r="I33" s="274">
        <f>K33*22.5%</f>
        <v>138635.32500000001</v>
      </c>
      <c r="J33" s="260"/>
      <c r="K33" s="247">
        <v>616157</v>
      </c>
      <c r="L33" s="256">
        <v>-470786</v>
      </c>
      <c r="M33" s="160">
        <f>L33*22.5%</f>
        <v>-105926.85</v>
      </c>
      <c r="Q33" s="94">
        <v>0.22500000000000001</v>
      </c>
    </row>
    <row r="34" spans="2:17" x14ac:dyDescent="0.25">
      <c r="B34" s="266">
        <v>10</v>
      </c>
      <c r="C34" s="390" t="s">
        <v>156</v>
      </c>
      <c r="D34" s="390"/>
      <c r="E34" s="390"/>
      <c r="F34" s="390"/>
      <c r="G34" s="390"/>
      <c r="H34" s="390"/>
      <c r="I34" s="274">
        <f t="shared" ref="I34:I35" si="0">K34*22.5%</f>
        <v>4226222.4750000006</v>
      </c>
      <c r="J34" s="260"/>
      <c r="K34" s="248">
        <v>18783211</v>
      </c>
      <c r="Q34" s="94">
        <v>353422151.02222216</v>
      </c>
    </row>
    <row r="35" spans="2:17" x14ac:dyDescent="0.25">
      <c r="B35" s="266">
        <v>11</v>
      </c>
      <c r="C35" s="255" t="s">
        <v>157</v>
      </c>
      <c r="D35" s="255"/>
      <c r="E35" s="255"/>
      <c r="F35" s="255"/>
      <c r="G35" s="255"/>
      <c r="H35" s="255"/>
      <c r="I35" s="274">
        <f t="shared" si="0"/>
        <v>-4087587.15</v>
      </c>
      <c r="J35" s="260"/>
      <c r="K35" s="275">
        <f>K33-K34</f>
        <v>-18167054</v>
      </c>
      <c r="Q35" s="94">
        <v>3534221.5102222217</v>
      </c>
    </row>
    <row r="36" spans="2:17" ht="15.75" thickBot="1" x14ac:dyDescent="0.3">
      <c r="B36" s="266"/>
      <c r="C36" s="272"/>
      <c r="D36" s="128"/>
      <c r="E36" s="128"/>
      <c r="F36" s="128"/>
      <c r="G36" s="128"/>
      <c r="H36" s="273"/>
      <c r="I36" s="268"/>
      <c r="J36" s="260"/>
      <c r="K36" s="260"/>
    </row>
    <row r="37" spans="2:17" ht="15.75" thickBot="1" x14ac:dyDescent="0.3">
      <c r="B37" s="400" t="s">
        <v>158</v>
      </c>
      <c r="C37" s="401"/>
      <c r="D37" s="401"/>
      <c r="E37" s="401"/>
      <c r="F37" s="401"/>
      <c r="G37" s="401"/>
      <c r="H37" s="401"/>
      <c r="I37" s="401"/>
      <c r="J37" s="401"/>
      <c r="K37" s="401"/>
    </row>
    <row r="38" spans="2:17" x14ac:dyDescent="0.25">
      <c r="B38" s="266">
        <v>12</v>
      </c>
      <c r="C38" s="390" t="s">
        <v>159</v>
      </c>
      <c r="D38" s="390"/>
      <c r="E38" s="390"/>
      <c r="F38" s="390"/>
      <c r="G38" s="390"/>
      <c r="H38" s="390"/>
      <c r="I38" s="422">
        <v>0</v>
      </c>
      <c r="J38" s="393"/>
      <c r="K38" s="423"/>
    </row>
    <row r="39" spans="2:17" x14ac:dyDescent="0.25">
      <c r="B39" s="266">
        <v>13</v>
      </c>
      <c r="C39" s="390" t="s">
        <v>160</v>
      </c>
      <c r="D39" s="390"/>
      <c r="E39" s="390"/>
      <c r="F39" s="390"/>
      <c r="G39" s="390"/>
      <c r="H39" s="390"/>
      <c r="I39" s="268"/>
      <c r="J39" s="260"/>
      <c r="K39" s="248">
        <v>0</v>
      </c>
      <c r="L39" s="160"/>
      <c r="M39" s="160"/>
    </row>
    <row r="40" spans="2:17" x14ac:dyDescent="0.25">
      <c r="B40" s="266">
        <v>14</v>
      </c>
      <c r="C40" s="255" t="s">
        <v>161</v>
      </c>
      <c r="D40" s="255"/>
      <c r="E40" s="255"/>
      <c r="F40" s="255"/>
      <c r="G40" s="255"/>
      <c r="H40" s="255"/>
      <c r="I40" s="268"/>
      <c r="J40" s="260"/>
      <c r="K40" s="275">
        <f>I38-K39</f>
        <v>0</v>
      </c>
      <c r="L40" s="160"/>
      <c r="M40" s="160"/>
    </row>
    <row r="41" spans="2:17" x14ac:dyDescent="0.25">
      <c r="B41" s="266"/>
      <c r="C41" s="255"/>
      <c r="D41" s="255"/>
      <c r="E41" s="255"/>
      <c r="F41" s="255"/>
      <c r="G41" s="255"/>
      <c r="H41" s="255"/>
      <c r="I41" s="268"/>
      <c r="J41" s="260"/>
      <c r="K41" s="260"/>
      <c r="L41" s="160"/>
      <c r="M41" s="160"/>
    </row>
    <row r="42" spans="2:17" x14ac:dyDescent="0.25">
      <c r="B42" s="424" t="s">
        <v>162</v>
      </c>
      <c r="C42" s="425"/>
      <c r="D42" s="425"/>
      <c r="E42" s="425"/>
      <c r="F42" s="425"/>
      <c r="G42" s="425"/>
      <c r="H42" s="425"/>
      <c r="I42" s="425"/>
      <c r="J42" s="425"/>
      <c r="K42" s="425"/>
      <c r="M42" s="160"/>
    </row>
    <row r="43" spans="2:17" x14ac:dyDescent="0.25">
      <c r="B43" s="266">
        <v>15</v>
      </c>
      <c r="C43" s="390" t="s">
        <v>163</v>
      </c>
      <c r="D43" s="390"/>
      <c r="E43" s="390"/>
      <c r="F43" s="390"/>
      <c r="G43" s="390"/>
      <c r="H43" s="390"/>
      <c r="I43" s="421">
        <v>8000158</v>
      </c>
      <c r="J43" s="403"/>
      <c r="K43" s="405"/>
    </row>
    <row r="44" spans="2:17" x14ac:dyDescent="0.25">
      <c r="B44" s="266">
        <v>16</v>
      </c>
      <c r="C44" s="390" t="s">
        <v>164</v>
      </c>
      <c r="D44" s="390"/>
      <c r="E44" s="390"/>
      <c r="F44" s="390"/>
      <c r="G44" s="390"/>
      <c r="H44" s="390"/>
      <c r="I44" s="268"/>
      <c r="J44" s="260"/>
      <c r="K44" s="248">
        <v>0</v>
      </c>
    </row>
    <row r="45" spans="2:17" x14ac:dyDescent="0.25">
      <c r="B45" s="266">
        <v>17</v>
      </c>
      <c r="C45" s="255" t="s">
        <v>165</v>
      </c>
      <c r="D45" s="255"/>
      <c r="E45" s="255"/>
      <c r="F45" s="255"/>
      <c r="G45" s="255"/>
      <c r="H45" s="255"/>
      <c r="I45" s="268"/>
      <c r="J45" s="260"/>
      <c r="K45" s="275">
        <f>I43-K44</f>
        <v>8000158</v>
      </c>
    </row>
    <row r="46" spans="2:17" ht="15.75" thickBot="1" x14ac:dyDescent="0.3">
      <c r="B46" s="266"/>
      <c r="C46" s="255"/>
      <c r="D46" s="255"/>
      <c r="E46" s="255"/>
      <c r="F46" s="255"/>
      <c r="G46" s="255"/>
      <c r="H46" s="255"/>
      <c r="I46" s="268"/>
      <c r="J46" s="260"/>
      <c r="K46" s="260"/>
    </row>
    <row r="47" spans="2:17" ht="15.75" thickBot="1" x14ac:dyDescent="0.3">
      <c r="B47" s="400" t="s">
        <v>166</v>
      </c>
      <c r="C47" s="401"/>
      <c r="D47" s="401"/>
      <c r="E47" s="401"/>
      <c r="F47" s="401"/>
      <c r="G47" s="401"/>
      <c r="H47" s="401"/>
      <c r="I47" s="401"/>
      <c r="J47" s="401"/>
      <c r="K47" s="401"/>
      <c r="L47" s="254">
        <v>22241616</v>
      </c>
    </row>
    <row r="48" spans="2:17" x14ac:dyDescent="0.25">
      <c r="B48" s="266">
        <v>18</v>
      </c>
      <c r="C48" s="390" t="s">
        <v>167</v>
      </c>
      <c r="D48" s="390"/>
      <c r="E48" s="390"/>
      <c r="F48" s="390"/>
      <c r="G48" s="390"/>
      <c r="H48" s="390"/>
      <c r="I48" s="274"/>
      <c r="J48" s="260"/>
      <c r="K48" s="247">
        <v>1266765.74</v>
      </c>
      <c r="L48" s="249">
        <v>0.22500000000000001</v>
      </c>
    </row>
    <row r="49" spans="2:27" x14ac:dyDescent="0.25">
      <c r="B49" s="266">
        <v>19</v>
      </c>
      <c r="C49" s="390" t="s">
        <v>168</v>
      </c>
      <c r="D49" s="390"/>
      <c r="E49" s="390"/>
      <c r="F49" s="390"/>
      <c r="G49" s="390"/>
      <c r="H49" s="390"/>
      <c r="I49" s="274"/>
      <c r="J49" s="260"/>
      <c r="K49" s="248"/>
      <c r="L49" s="254">
        <f>L47*L48</f>
        <v>5004363.6000000006</v>
      </c>
    </row>
    <row r="50" spans="2:27" x14ac:dyDescent="0.25">
      <c r="B50" s="266">
        <v>20</v>
      </c>
      <c r="C50" s="255" t="s">
        <v>169</v>
      </c>
      <c r="D50" s="255"/>
      <c r="E50" s="255"/>
      <c r="F50" s="255"/>
      <c r="G50" s="255"/>
      <c r="H50" s="255"/>
      <c r="I50" s="274"/>
      <c r="J50" s="260"/>
      <c r="K50" s="275">
        <f>K48-K49</f>
        <v>1266765.74</v>
      </c>
      <c r="L50" s="254">
        <f>L49/100</f>
        <v>50043.636000000006</v>
      </c>
    </row>
    <row r="51" spans="2:27" ht="15.75" thickBot="1" x14ac:dyDescent="0.3">
      <c r="B51" s="266"/>
      <c r="C51" s="272"/>
      <c r="D51" s="128"/>
      <c r="E51" s="128"/>
      <c r="F51" s="128"/>
      <c r="G51" s="128"/>
      <c r="H51" s="273"/>
      <c r="I51" s="268"/>
      <c r="J51" s="260"/>
      <c r="K51" s="260"/>
    </row>
    <row r="52" spans="2:27" ht="15.75" thickBot="1" x14ac:dyDescent="0.3">
      <c r="B52" s="400" t="s">
        <v>170</v>
      </c>
      <c r="C52" s="401"/>
      <c r="D52" s="401"/>
      <c r="E52" s="401"/>
      <c r="F52" s="401"/>
      <c r="G52" s="401"/>
      <c r="H52" s="401"/>
      <c r="I52" s="401"/>
      <c r="J52" s="401"/>
      <c r="K52" s="401"/>
    </row>
    <row r="53" spans="2:27" x14ac:dyDescent="0.25">
      <c r="B53" s="277">
        <v>21</v>
      </c>
      <c r="C53" s="390" t="s">
        <v>171</v>
      </c>
      <c r="D53" s="390"/>
      <c r="E53" s="390"/>
      <c r="F53" s="390"/>
      <c r="G53" s="390"/>
      <c r="H53" s="390"/>
      <c r="I53" s="274">
        <f>K53*22.5%</f>
        <v>4228804.3500000006</v>
      </c>
      <c r="J53" s="260"/>
      <c r="K53" s="247">
        <v>18794686</v>
      </c>
      <c r="O53" s="254">
        <v>2973029.9267640822</v>
      </c>
      <c r="Q53" s="248"/>
    </row>
    <row r="54" spans="2:27" x14ac:dyDescent="0.25">
      <c r="B54" s="277">
        <v>22</v>
      </c>
      <c r="C54" s="390" t="s">
        <v>168</v>
      </c>
      <c r="D54" s="390"/>
      <c r="E54" s="390"/>
      <c r="F54" s="390"/>
      <c r="G54" s="390"/>
      <c r="H54" s="390"/>
      <c r="I54" s="274">
        <f t="shared" ref="I54:I55" si="1">K54*22.5%</f>
        <v>2973029.9267640822</v>
      </c>
      <c r="J54" s="260"/>
      <c r="K54" s="248">
        <v>13213466.341173697</v>
      </c>
      <c r="O54" s="249">
        <v>0.22500000000000001</v>
      </c>
      <c r="Q54" s="250"/>
    </row>
    <row r="55" spans="2:27" x14ac:dyDescent="0.25">
      <c r="B55" s="277">
        <v>23</v>
      </c>
      <c r="C55" s="255" t="s">
        <v>172</v>
      </c>
      <c r="D55" s="255"/>
      <c r="E55" s="255"/>
      <c r="F55" s="255"/>
      <c r="G55" s="255"/>
      <c r="H55" s="255"/>
      <c r="I55" s="274">
        <f t="shared" si="1"/>
        <v>1255774.4232359182</v>
      </c>
      <c r="J55" s="260"/>
      <c r="K55" s="275">
        <f>K53-K54</f>
        <v>5581219.6588263027</v>
      </c>
      <c r="O55" s="254">
        <f>O53/O54</f>
        <v>13213466.341173697</v>
      </c>
      <c r="Q55" s="160"/>
    </row>
    <row r="56" spans="2:27" ht="15.75" thickBot="1" x14ac:dyDescent="0.3">
      <c r="B56" s="277"/>
      <c r="C56" s="255"/>
      <c r="D56" s="255"/>
      <c r="E56" s="255"/>
      <c r="F56" s="255"/>
      <c r="G56" s="255"/>
      <c r="H56" s="255"/>
      <c r="I56" s="268"/>
      <c r="J56" s="260"/>
      <c r="K56" s="260"/>
      <c r="O56" s="254">
        <f>O55/100</f>
        <v>132134.66341173698</v>
      </c>
      <c r="Q56" s="160"/>
    </row>
    <row r="57" spans="2:27" ht="15.75" thickBot="1" x14ac:dyDescent="0.3">
      <c r="B57" s="400" t="s">
        <v>173</v>
      </c>
      <c r="C57" s="401"/>
      <c r="D57" s="401"/>
      <c r="E57" s="401"/>
      <c r="F57" s="401"/>
      <c r="G57" s="401"/>
      <c r="H57" s="401"/>
      <c r="I57" s="401"/>
      <c r="J57" s="401"/>
      <c r="K57" s="401"/>
    </row>
    <row r="58" spans="2:27" s="94" customFormat="1" x14ac:dyDescent="0.25">
      <c r="B58" s="278">
        <v>24</v>
      </c>
      <c r="C58" s="390" t="s">
        <v>174</v>
      </c>
      <c r="D58" s="390"/>
      <c r="E58" s="390"/>
      <c r="F58" s="390"/>
      <c r="G58" s="390"/>
      <c r="H58" s="390"/>
      <c r="I58" s="268"/>
      <c r="J58" s="260"/>
      <c r="K58" s="247">
        <f>'[1]LEY DE INGRESOS'!C13</f>
        <v>45920944</v>
      </c>
      <c r="AA58" s="276"/>
    </row>
    <row r="59" spans="2:27" x14ac:dyDescent="0.25">
      <c r="B59" s="266">
        <v>25</v>
      </c>
      <c r="C59" s="390" t="s">
        <v>175</v>
      </c>
      <c r="D59" s="390"/>
      <c r="E59" s="390"/>
      <c r="F59" s="390"/>
      <c r="G59" s="390"/>
      <c r="H59" s="390"/>
      <c r="I59" s="268"/>
      <c r="J59" s="260"/>
      <c r="K59" s="248">
        <v>25000000</v>
      </c>
    </row>
    <row r="60" spans="2:27" x14ac:dyDescent="0.25">
      <c r="B60" s="266">
        <v>26</v>
      </c>
      <c r="C60" s="255" t="s">
        <v>176</v>
      </c>
      <c r="D60" s="255"/>
      <c r="E60" s="255"/>
      <c r="F60" s="255"/>
      <c r="G60" s="255"/>
      <c r="H60" s="255"/>
      <c r="I60" s="268"/>
      <c r="J60" s="260"/>
      <c r="K60" s="248">
        <f>K58-K59</f>
        <v>20920944</v>
      </c>
    </row>
    <row r="61" spans="2:27" x14ac:dyDescent="0.25">
      <c r="B61" s="266"/>
      <c r="C61" s="279"/>
      <c r="D61" s="255"/>
      <c r="E61" s="255"/>
      <c r="F61" s="255"/>
      <c r="G61" s="255"/>
      <c r="H61" s="280"/>
      <c r="I61" s="268"/>
      <c r="J61" s="260"/>
      <c r="K61" s="260"/>
    </row>
    <row r="62" spans="2:27" ht="15.75" thickBot="1" x14ac:dyDescent="0.3">
      <c r="B62" s="266"/>
      <c r="C62" s="279"/>
      <c r="D62" s="255"/>
      <c r="E62" s="255"/>
      <c r="F62" s="255"/>
      <c r="G62" s="255"/>
      <c r="H62" s="280"/>
      <c r="I62" s="268"/>
      <c r="J62" s="260"/>
      <c r="K62" s="260"/>
    </row>
    <row r="63" spans="2:27" ht="15.75" thickBot="1" x14ac:dyDescent="0.3">
      <c r="B63" s="400" t="s">
        <v>177</v>
      </c>
      <c r="C63" s="401"/>
      <c r="D63" s="401"/>
      <c r="E63" s="401"/>
      <c r="F63" s="401"/>
      <c r="G63" s="401"/>
      <c r="H63" s="401"/>
      <c r="I63" s="401"/>
      <c r="J63" s="401"/>
      <c r="K63" s="401"/>
    </row>
    <row r="64" spans="2:27" x14ac:dyDescent="0.25">
      <c r="B64" s="266"/>
      <c r="C64" s="390" t="s">
        <v>178</v>
      </c>
      <c r="D64" s="390"/>
      <c r="E64" s="390"/>
      <c r="F64" s="390"/>
      <c r="G64" s="390"/>
      <c r="H64" s="390"/>
      <c r="I64" s="268"/>
      <c r="J64" s="260"/>
      <c r="K64" s="247">
        <v>3844937.04</v>
      </c>
    </row>
    <row r="65" spans="2:13" x14ac:dyDescent="0.25">
      <c r="B65" s="266"/>
      <c r="C65" s="390" t="s">
        <v>179</v>
      </c>
      <c r="D65" s="390"/>
      <c r="E65" s="390"/>
      <c r="F65" s="390"/>
      <c r="G65" s="390"/>
      <c r="H65" s="390"/>
      <c r="I65" s="268"/>
      <c r="J65" s="260"/>
      <c r="K65" s="248"/>
    </row>
    <row r="66" spans="2:13" ht="15.75" thickBot="1" x14ac:dyDescent="0.3">
      <c r="B66" s="266"/>
      <c r="C66" s="255"/>
      <c r="D66" s="255"/>
      <c r="E66" s="255"/>
      <c r="F66" s="255"/>
      <c r="G66" s="255"/>
      <c r="H66" s="255"/>
      <c r="I66" s="268"/>
      <c r="J66" s="260"/>
      <c r="K66" s="248"/>
    </row>
    <row r="67" spans="2:13" x14ac:dyDescent="0.25">
      <c r="B67" s="266"/>
      <c r="C67" s="406" t="s">
        <v>180</v>
      </c>
      <c r="D67" s="407"/>
      <c r="E67" s="407"/>
      <c r="F67" s="407"/>
      <c r="G67" s="407"/>
      <c r="H67" s="407"/>
      <c r="I67" s="281">
        <f>K64*0.6</f>
        <v>2306962.2239999999</v>
      </c>
      <c r="J67" s="282">
        <f>I67*0.225</f>
        <v>519066.50040000002</v>
      </c>
      <c r="K67" s="248"/>
      <c r="M67" s="160"/>
    </row>
    <row r="68" spans="2:13" x14ac:dyDescent="0.25">
      <c r="B68" s="266"/>
      <c r="C68" s="410" t="s">
        <v>181</v>
      </c>
      <c r="D68" s="411"/>
      <c r="E68" s="411"/>
      <c r="F68" s="411"/>
      <c r="G68" s="411"/>
      <c r="H68" s="411"/>
      <c r="I68" s="281">
        <f>K64*0.3</f>
        <v>1153481.112</v>
      </c>
      <c r="J68" s="282">
        <f t="shared" ref="J68:J69" si="2">I68*0.225</f>
        <v>259533.25020000001</v>
      </c>
      <c r="K68" s="248"/>
    </row>
    <row r="69" spans="2:13" x14ac:dyDescent="0.25">
      <c r="B69" s="266"/>
      <c r="C69" s="410" t="s">
        <v>182</v>
      </c>
      <c r="D69" s="411"/>
      <c r="E69" s="411"/>
      <c r="F69" s="411"/>
      <c r="G69" s="411"/>
      <c r="H69" s="411"/>
      <c r="I69" s="281">
        <f>K64*0.1</f>
        <v>384493.70400000003</v>
      </c>
      <c r="J69" s="282">
        <f t="shared" si="2"/>
        <v>86511.083400000003</v>
      </c>
      <c r="K69" s="248"/>
    </row>
    <row r="70" spans="2:13" x14ac:dyDescent="0.25">
      <c r="B70" s="266"/>
      <c r="C70" s="410" t="s">
        <v>183</v>
      </c>
      <c r="D70" s="411"/>
      <c r="E70" s="411"/>
      <c r="F70" s="411"/>
      <c r="G70" s="411"/>
      <c r="H70" s="411"/>
      <c r="I70" s="281">
        <f>SUM(I67:I69)</f>
        <v>3844937.04</v>
      </c>
      <c r="J70" s="282">
        <f>J67+J68+J69</f>
        <v>865110.83400000003</v>
      </c>
      <c r="K70" s="248"/>
    </row>
    <row r="71" spans="2:13" ht="15.75" thickBot="1" x14ac:dyDescent="0.3">
      <c r="B71" s="266"/>
      <c r="C71" s="426"/>
      <c r="D71" s="427"/>
      <c r="E71" s="427"/>
      <c r="F71" s="427"/>
      <c r="G71" s="427"/>
      <c r="H71" s="428"/>
      <c r="I71" s="268"/>
      <c r="J71" s="260"/>
      <c r="K71" s="260"/>
    </row>
    <row r="72" spans="2:13" ht="15.75" thickBot="1" x14ac:dyDescent="0.3">
      <c r="B72" s="400" t="s">
        <v>184</v>
      </c>
      <c r="C72" s="401"/>
      <c r="D72" s="401"/>
      <c r="E72" s="401"/>
      <c r="F72" s="401"/>
      <c r="G72" s="401"/>
      <c r="H72" s="401"/>
      <c r="I72" s="401"/>
      <c r="J72" s="401"/>
      <c r="K72" s="401"/>
    </row>
    <row r="73" spans="2:13" x14ac:dyDescent="0.25">
      <c r="B73" s="266"/>
      <c r="C73" s="426"/>
      <c r="D73" s="427"/>
      <c r="E73" s="427"/>
      <c r="F73" s="427"/>
      <c r="G73" s="427"/>
      <c r="H73" s="428"/>
      <c r="I73" s="268"/>
      <c r="J73" s="260"/>
      <c r="K73" s="248"/>
    </row>
    <row r="74" spans="2:13" x14ac:dyDescent="0.25">
      <c r="B74" s="266">
        <v>27</v>
      </c>
      <c r="C74" s="390" t="s">
        <v>185</v>
      </c>
      <c r="D74" s="390"/>
      <c r="E74" s="390"/>
      <c r="F74" s="390"/>
      <c r="G74" s="390"/>
      <c r="H74" s="390"/>
      <c r="I74" s="268"/>
      <c r="J74" s="260"/>
      <c r="K74" s="248">
        <v>816484</v>
      </c>
    </row>
    <row r="75" spans="2:13" x14ac:dyDescent="0.25">
      <c r="B75" s="266"/>
      <c r="C75" s="390"/>
      <c r="D75" s="390"/>
      <c r="E75" s="390"/>
      <c r="F75" s="390"/>
      <c r="G75" s="390"/>
      <c r="H75" s="390"/>
      <c r="I75" s="268"/>
      <c r="J75" s="260"/>
      <c r="K75" s="260"/>
    </row>
    <row r="76" spans="2:13" ht="15.75" thickBot="1" x14ac:dyDescent="0.3">
      <c r="B76" s="266"/>
      <c r="C76" s="255"/>
      <c r="D76" s="255"/>
      <c r="E76" s="255"/>
      <c r="F76" s="255"/>
      <c r="G76" s="255"/>
      <c r="H76" s="255"/>
      <c r="I76" s="268"/>
      <c r="J76" s="260"/>
      <c r="K76" s="260"/>
    </row>
    <row r="77" spans="2:13" x14ac:dyDescent="0.25">
      <c r="B77" s="266"/>
      <c r="C77" s="406" t="s">
        <v>180</v>
      </c>
      <c r="D77" s="407"/>
      <c r="E77" s="407"/>
      <c r="F77" s="407"/>
      <c r="G77" s="407"/>
      <c r="H77" s="407"/>
      <c r="I77" s="281">
        <f>K74*0.6</f>
        <v>489890.39999999997</v>
      </c>
      <c r="J77" s="282">
        <f>I77*0.225</f>
        <v>110225.34</v>
      </c>
      <c r="K77" s="260"/>
    </row>
    <row r="78" spans="2:13" x14ac:dyDescent="0.25">
      <c r="B78" s="266"/>
      <c r="C78" s="410" t="s">
        <v>181</v>
      </c>
      <c r="D78" s="411"/>
      <c r="E78" s="411"/>
      <c r="F78" s="411"/>
      <c r="G78" s="411"/>
      <c r="H78" s="411"/>
      <c r="I78" s="281">
        <f>K74*0.3</f>
        <v>244945.19999999998</v>
      </c>
      <c r="J78" s="282">
        <f t="shared" ref="J78:J79" si="3">I78*0.225</f>
        <v>55112.67</v>
      </c>
      <c r="K78" s="260"/>
    </row>
    <row r="79" spans="2:13" x14ac:dyDescent="0.25">
      <c r="B79" s="266"/>
      <c r="C79" s="410" t="s">
        <v>182</v>
      </c>
      <c r="D79" s="411"/>
      <c r="E79" s="411"/>
      <c r="F79" s="411"/>
      <c r="G79" s="411"/>
      <c r="H79" s="411"/>
      <c r="I79" s="281">
        <f>K74*0.1</f>
        <v>81648.400000000009</v>
      </c>
      <c r="J79" s="282">
        <f t="shared" si="3"/>
        <v>18370.890000000003</v>
      </c>
      <c r="K79" s="260"/>
    </row>
    <row r="80" spans="2:13" x14ac:dyDescent="0.25">
      <c r="B80" s="266"/>
      <c r="C80" s="410" t="s">
        <v>183</v>
      </c>
      <c r="D80" s="411"/>
      <c r="E80" s="411"/>
      <c r="F80" s="411"/>
      <c r="G80" s="411"/>
      <c r="H80" s="411"/>
      <c r="I80" s="281">
        <f>SUM(I77:I79)</f>
        <v>816484</v>
      </c>
      <c r="J80" s="282">
        <f>J77+J78+J79</f>
        <v>183708.90000000002</v>
      </c>
      <c r="K80" s="260"/>
    </row>
    <row r="81" spans="2:34" x14ac:dyDescent="0.25">
      <c r="B81" s="266"/>
      <c r="C81" s="255"/>
      <c r="D81" s="255"/>
      <c r="E81" s="255"/>
      <c r="F81" s="255"/>
      <c r="G81" s="255"/>
      <c r="H81" s="255"/>
      <c r="I81" s="268"/>
      <c r="J81" s="260"/>
      <c r="K81" s="260"/>
    </row>
    <row r="82" spans="2:34" x14ac:dyDescent="0.25">
      <c r="B82" s="266"/>
      <c r="C82" s="272"/>
      <c r="D82" s="128"/>
      <c r="E82" s="128"/>
      <c r="F82" s="128"/>
      <c r="G82" s="128"/>
      <c r="H82" s="273"/>
      <c r="I82" s="268"/>
      <c r="J82" s="260"/>
      <c r="K82" s="260"/>
    </row>
    <row r="83" spans="2:34" x14ac:dyDescent="0.25">
      <c r="B83" s="283"/>
      <c r="C83" s="432" t="s">
        <v>86</v>
      </c>
      <c r="D83" s="433"/>
      <c r="E83" s="433"/>
      <c r="F83" s="433"/>
      <c r="G83" s="433"/>
      <c r="H83" s="434"/>
      <c r="I83" s="435"/>
      <c r="J83" s="436"/>
      <c r="K83" s="436"/>
    </row>
    <row r="84" spans="2:34" x14ac:dyDescent="0.25">
      <c r="C84" s="284"/>
      <c r="D84" s="284"/>
      <c r="E84" s="284"/>
      <c r="F84" s="284"/>
      <c r="G84" s="284"/>
      <c r="H84" s="284"/>
      <c r="I84" s="285"/>
      <c r="J84" s="285"/>
      <c r="K84" s="94"/>
    </row>
    <row r="85" spans="2:34" ht="15" customHeight="1" x14ac:dyDescent="0.25">
      <c r="C85" s="284" t="s">
        <v>186</v>
      </c>
      <c r="D85" s="284"/>
      <c r="E85" s="284"/>
      <c r="F85" s="284"/>
      <c r="G85" s="284"/>
      <c r="H85" s="284"/>
      <c r="I85" s="285"/>
      <c r="J85" s="285"/>
      <c r="K85" s="94"/>
    </row>
    <row r="86" spans="2:34" ht="14.45" customHeight="1" x14ac:dyDescent="0.25"/>
    <row r="87" spans="2:34" ht="18" customHeight="1" x14ac:dyDescent="0.25"/>
    <row r="88" spans="2:34" s="94" customFormat="1" ht="15" customHeight="1" x14ac:dyDescent="0.25">
      <c r="B88" s="286"/>
      <c r="C88" s="437" t="s">
        <v>187</v>
      </c>
      <c r="D88" s="429">
        <v>2010</v>
      </c>
      <c r="E88" s="430"/>
      <c r="F88" s="431"/>
      <c r="G88" s="429">
        <v>2011</v>
      </c>
      <c r="H88" s="430"/>
      <c r="I88" s="431"/>
      <c r="J88" s="287"/>
      <c r="K88" s="429">
        <v>2013</v>
      </c>
      <c r="L88" s="431"/>
      <c r="M88" s="287"/>
      <c r="N88" s="429">
        <v>2014</v>
      </c>
      <c r="O88" s="430"/>
      <c r="P88" s="431"/>
      <c r="Q88" s="429">
        <v>2015</v>
      </c>
      <c r="R88" s="430"/>
      <c r="S88" s="431"/>
      <c r="T88" s="429">
        <v>2016</v>
      </c>
      <c r="U88" s="430"/>
      <c r="V88" s="431"/>
      <c r="W88" s="128">
        <v>2015</v>
      </c>
      <c r="X88" s="128">
        <v>2016</v>
      </c>
      <c r="Y88" s="128"/>
      <c r="Z88" s="128"/>
      <c r="AA88" s="276"/>
    </row>
    <row r="89" spans="2:34" s="94" customFormat="1" ht="15" customHeight="1" x14ac:dyDescent="0.25">
      <c r="B89" s="286"/>
      <c r="C89" s="437"/>
      <c r="D89" s="288" t="s">
        <v>188</v>
      </c>
      <c r="E89" s="288" t="s">
        <v>189</v>
      </c>
      <c r="F89" s="288" t="s">
        <v>1</v>
      </c>
      <c r="G89" s="288" t="s">
        <v>188</v>
      </c>
      <c r="H89" s="288" t="s">
        <v>189</v>
      </c>
      <c r="I89" s="288" t="s">
        <v>1</v>
      </c>
      <c r="J89" s="288"/>
      <c r="K89" s="288" t="s">
        <v>188</v>
      </c>
      <c r="L89" s="288" t="s">
        <v>1</v>
      </c>
      <c r="M89" s="288"/>
      <c r="N89" s="288" t="s">
        <v>188</v>
      </c>
      <c r="O89" s="288" t="s">
        <v>189</v>
      </c>
      <c r="P89" s="288" t="s">
        <v>1</v>
      </c>
      <c r="Q89" s="288" t="s">
        <v>188</v>
      </c>
      <c r="R89" s="288" t="s">
        <v>189</v>
      </c>
      <c r="S89" s="288" t="s">
        <v>1</v>
      </c>
      <c r="T89" s="288" t="s">
        <v>188</v>
      </c>
      <c r="U89" s="288" t="s">
        <v>189</v>
      </c>
      <c r="V89" s="288" t="s">
        <v>1</v>
      </c>
      <c r="W89" s="128" t="s">
        <v>190</v>
      </c>
      <c r="X89" s="128" t="s">
        <v>190</v>
      </c>
      <c r="Y89" s="128"/>
      <c r="Z89" s="128"/>
      <c r="AA89" s="276"/>
    </row>
    <row r="90" spans="2:34" s="94" customFormat="1" ht="21" customHeight="1" x14ac:dyDescent="0.25">
      <c r="B90" s="286"/>
      <c r="C90" s="289" t="s">
        <v>191</v>
      </c>
      <c r="D90" s="290">
        <v>1682502</v>
      </c>
      <c r="E90" s="291">
        <v>4238017</v>
      </c>
      <c r="F90" s="292">
        <f t="shared" ref="F90:F110" si="4">D90+E90</f>
        <v>5920519</v>
      </c>
      <c r="G90" s="290">
        <v>1970081.77</v>
      </c>
      <c r="H90" s="290">
        <v>4430528</v>
      </c>
      <c r="I90" s="292">
        <f t="shared" ref="I90:I110" si="5">G90+H90</f>
        <v>6400609.7699999996</v>
      </c>
      <c r="J90" s="293">
        <f>I90/F90</f>
        <v>1.0810893048396601</v>
      </c>
      <c r="K90" s="290">
        <v>2150123</v>
      </c>
      <c r="L90" s="290">
        <f t="shared" ref="L90:L109" si="6">SUM(K90:K90)</f>
        <v>2150123</v>
      </c>
      <c r="M90" s="292" t="e">
        <f>#REF!+L90</f>
        <v>#REF!</v>
      </c>
      <c r="N90" s="290">
        <v>3921861</v>
      </c>
      <c r="O90" s="290">
        <v>6674015</v>
      </c>
      <c r="P90" s="292">
        <f t="shared" ref="P90:P109" si="7">N90+O90</f>
        <v>10595876</v>
      </c>
      <c r="Q90" s="290">
        <v>1950494</v>
      </c>
      <c r="R90" s="290">
        <v>7890356</v>
      </c>
      <c r="S90" s="292">
        <f t="shared" ref="S90:S109" si="8">Q90+R90</f>
        <v>9840850</v>
      </c>
      <c r="T90" s="290">
        <v>2477398</v>
      </c>
      <c r="U90" s="290">
        <v>7110081</v>
      </c>
      <c r="V90" s="292">
        <f t="shared" ref="V90:V109" si="9">T90+U90</f>
        <v>9587479</v>
      </c>
      <c r="W90" s="294">
        <f>S90/$S$110*100</f>
        <v>1.7082934235061225</v>
      </c>
      <c r="X90" s="294">
        <f>V90/$V$110*100</f>
        <v>1.8025064307742125</v>
      </c>
      <c r="Y90" s="294">
        <f>X90/W90</f>
        <v>1.0551503658398018</v>
      </c>
      <c r="Z90" s="294"/>
      <c r="AA90" s="295">
        <f>V90/S90</f>
        <v>0.97425313870244945</v>
      </c>
      <c r="AB90" s="94">
        <f>AA90/$AA$110*100</f>
        <v>3.9972199358074381</v>
      </c>
      <c r="AC90" s="160"/>
      <c r="AD90" s="93"/>
      <c r="AE90" s="160"/>
      <c r="AF90" s="92"/>
      <c r="AG90" s="276"/>
      <c r="AH90" s="276"/>
    </row>
    <row r="91" spans="2:34" s="94" customFormat="1" ht="21" customHeight="1" x14ac:dyDescent="0.25">
      <c r="B91" s="286"/>
      <c r="C91" s="289" t="s">
        <v>3</v>
      </c>
      <c r="D91" s="290">
        <v>1426148</v>
      </c>
      <c r="E91" s="291">
        <v>1269045.2039224801</v>
      </c>
      <c r="F91" s="292">
        <f>D91+E91</f>
        <v>2695193.2039224803</v>
      </c>
      <c r="G91" s="290">
        <v>1509150</v>
      </c>
      <c r="H91" s="290">
        <v>1369030</v>
      </c>
      <c r="I91" s="292">
        <f>G91+H91</f>
        <v>2878180</v>
      </c>
      <c r="J91" s="293">
        <f t="shared" ref="J91:J109" si="10">I91/F91</f>
        <v>1.0678937583440058</v>
      </c>
      <c r="K91" s="290">
        <v>1502301</v>
      </c>
      <c r="L91" s="290">
        <f t="shared" si="6"/>
        <v>1502301</v>
      </c>
      <c r="M91" s="292" t="e">
        <f>#REF!+L91</f>
        <v>#REF!</v>
      </c>
      <c r="N91" s="290">
        <v>1727695</v>
      </c>
      <c r="O91" s="290">
        <v>1786622</v>
      </c>
      <c r="P91" s="292">
        <f>N91+O91</f>
        <v>3514317</v>
      </c>
      <c r="Q91" s="290">
        <v>1877264</v>
      </c>
      <c r="R91" s="290">
        <v>1913057</v>
      </c>
      <c r="S91" s="292">
        <f t="shared" si="8"/>
        <v>3790321</v>
      </c>
      <c r="T91" s="290">
        <v>2240417</v>
      </c>
      <c r="U91" s="290">
        <v>1913057</v>
      </c>
      <c r="V91" s="292">
        <f t="shared" si="9"/>
        <v>4153474</v>
      </c>
      <c r="W91" s="294">
        <f t="shared" ref="W91:W109" si="11">S91/$S$110*100</f>
        <v>0.65796963039545864</v>
      </c>
      <c r="X91" s="294">
        <f t="shared" ref="X91:X109" si="12">V91/$V$110*100</f>
        <v>0.78087926920658612</v>
      </c>
      <c r="Y91" s="294">
        <f t="shared" ref="Y91:Y109" si="13">X91/W91</f>
        <v>1.186801385859185</v>
      </c>
      <c r="Z91" s="294"/>
      <c r="AA91" s="295">
        <f t="shared" ref="AA91:AA109" si="14">V91/S91</f>
        <v>1.0958106186784708</v>
      </c>
      <c r="AB91" s="94">
        <f t="shared" ref="AB91:AB109" si="15">AA91/$AA$110*100</f>
        <v>4.4959527219843416</v>
      </c>
      <c r="AC91" s="160"/>
      <c r="AD91" s="93"/>
      <c r="AE91" s="160"/>
      <c r="AF91" s="92"/>
      <c r="AG91" s="276"/>
      <c r="AH91" s="276"/>
    </row>
    <row r="92" spans="2:34" s="94" customFormat="1" ht="21" customHeight="1" x14ac:dyDescent="0.25">
      <c r="B92" s="286"/>
      <c r="C92" s="289" t="s">
        <v>4</v>
      </c>
      <c r="D92" s="290">
        <v>2556102</v>
      </c>
      <c r="E92" s="291">
        <v>1591529</v>
      </c>
      <c r="F92" s="292">
        <f t="shared" si="4"/>
        <v>4147631</v>
      </c>
      <c r="G92" s="290">
        <v>1516908</v>
      </c>
      <c r="H92" s="290">
        <v>1406499</v>
      </c>
      <c r="I92" s="292">
        <f t="shared" si="5"/>
        <v>2923407</v>
      </c>
      <c r="J92" s="293">
        <f t="shared" si="10"/>
        <v>0.70483777365922862</v>
      </c>
      <c r="K92" s="290">
        <v>1779909</v>
      </c>
      <c r="L92" s="290">
        <f t="shared" si="6"/>
        <v>1779909</v>
      </c>
      <c r="M92" s="292" t="e">
        <f>#REF!+L92</f>
        <v>#REF!</v>
      </c>
      <c r="N92" s="290">
        <v>1615790</v>
      </c>
      <c r="O92" s="290">
        <v>1575981</v>
      </c>
      <c r="P92" s="292">
        <f t="shared" si="7"/>
        <v>3191771</v>
      </c>
      <c r="Q92" s="290">
        <v>1935203</v>
      </c>
      <c r="R92" s="290">
        <v>1753984</v>
      </c>
      <c r="S92" s="292">
        <f t="shared" si="8"/>
        <v>3689187</v>
      </c>
      <c r="T92" s="290">
        <v>2030546</v>
      </c>
      <c r="U92" s="290">
        <v>1753984</v>
      </c>
      <c r="V92" s="292">
        <f t="shared" si="9"/>
        <v>3784530</v>
      </c>
      <c r="W92" s="294">
        <f t="shared" si="11"/>
        <v>0.64041357100090757</v>
      </c>
      <c r="X92" s="294">
        <f t="shared" si="12"/>
        <v>0.71151547371920498</v>
      </c>
      <c r="Y92" s="294">
        <f t="shared" si="13"/>
        <v>1.1110249781358812</v>
      </c>
      <c r="Z92" s="294"/>
      <c r="AA92" s="295">
        <f t="shared" si="14"/>
        <v>1.0258439054458339</v>
      </c>
      <c r="AB92" s="94">
        <f t="shared" si="15"/>
        <v>4.2088894015121108</v>
      </c>
      <c r="AC92" s="160"/>
      <c r="AD92" s="93"/>
      <c r="AE92" s="160"/>
      <c r="AF92" s="92"/>
      <c r="AG92" s="276"/>
      <c r="AH92" s="276"/>
    </row>
    <row r="93" spans="2:34" s="94" customFormat="1" ht="21" customHeight="1" x14ac:dyDescent="0.25">
      <c r="B93" s="286"/>
      <c r="C93" s="289" t="s">
        <v>192</v>
      </c>
      <c r="D93" s="290">
        <v>78746014</v>
      </c>
      <c r="E93" s="291">
        <v>45839494.140000001</v>
      </c>
      <c r="F93" s="292">
        <f>D93+E93</f>
        <v>124585508.14</v>
      </c>
      <c r="G93" s="290">
        <v>78848903</v>
      </c>
      <c r="H93" s="290">
        <v>64656269</v>
      </c>
      <c r="I93" s="292">
        <f>G93+H93</f>
        <v>143505172</v>
      </c>
      <c r="J93" s="293">
        <f t="shared" si="10"/>
        <v>1.1518608716411822</v>
      </c>
      <c r="K93" s="290">
        <v>88352172</v>
      </c>
      <c r="L93" s="290">
        <f t="shared" si="6"/>
        <v>88352172</v>
      </c>
      <c r="M93" s="292" t="e">
        <f>#REF!+L93</f>
        <v>#REF!</v>
      </c>
      <c r="N93" s="290">
        <v>79726602</v>
      </c>
      <c r="O93" s="290">
        <v>80464700</v>
      </c>
      <c r="P93" s="292">
        <f>N93+O93</f>
        <v>160191302</v>
      </c>
      <c r="Q93" s="290">
        <v>98152406</v>
      </c>
      <c r="R93" s="296">
        <v>101948180</v>
      </c>
      <c r="S93" s="292">
        <f t="shared" si="8"/>
        <v>200100586</v>
      </c>
      <c r="T93" s="290">
        <v>124077659</v>
      </c>
      <c r="U93" s="290">
        <v>90316627</v>
      </c>
      <c r="V93" s="292">
        <f t="shared" si="9"/>
        <v>214394286</v>
      </c>
      <c r="W93" s="294">
        <f t="shared" si="11"/>
        <v>34.735872928001264</v>
      </c>
      <c r="X93" s="294">
        <f t="shared" si="12"/>
        <v>40.307475952358871</v>
      </c>
      <c r="Y93" s="294">
        <f t="shared" si="13"/>
        <v>1.1603991077439206</v>
      </c>
      <c r="Z93" s="294"/>
      <c r="AA93" s="295">
        <f t="shared" si="14"/>
        <v>1.0714325744153492</v>
      </c>
      <c r="AB93" s="94">
        <f t="shared" si="15"/>
        <v>4.395933126815958</v>
      </c>
      <c r="AC93" s="160"/>
      <c r="AD93" s="93"/>
      <c r="AE93" s="160"/>
      <c r="AF93" s="92"/>
      <c r="AG93" s="276"/>
      <c r="AH93" s="276"/>
    </row>
    <row r="94" spans="2:34" s="94" customFormat="1" ht="21" customHeight="1" x14ac:dyDescent="0.25">
      <c r="B94" s="286"/>
      <c r="C94" s="289" t="s">
        <v>6</v>
      </c>
      <c r="D94" s="290">
        <v>10223733</v>
      </c>
      <c r="E94" s="291">
        <v>19002626</v>
      </c>
      <c r="F94" s="292">
        <f t="shared" si="4"/>
        <v>29226359</v>
      </c>
      <c r="G94" s="290">
        <v>11239004</v>
      </c>
      <c r="H94" s="290">
        <v>19033512</v>
      </c>
      <c r="I94" s="292">
        <f t="shared" si="5"/>
        <v>30272516</v>
      </c>
      <c r="J94" s="293">
        <f t="shared" si="10"/>
        <v>1.0357949821939845</v>
      </c>
      <c r="K94" s="290">
        <v>11777751</v>
      </c>
      <c r="L94" s="290">
        <f t="shared" si="6"/>
        <v>11777751</v>
      </c>
      <c r="M94" s="292" t="e">
        <f>#REF!+L94</f>
        <v>#REF!</v>
      </c>
      <c r="N94" s="290">
        <v>12923845</v>
      </c>
      <c r="O94" s="290">
        <v>22177342</v>
      </c>
      <c r="P94" s="292">
        <f t="shared" si="7"/>
        <v>35101187</v>
      </c>
      <c r="Q94" s="290">
        <v>15507321</v>
      </c>
      <c r="R94" s="290">
        <v>23101140</v>
      </c>
      <c r="S94" s="292">
        <f t="shared" si="8"/>
        <v>38608461</v>
      </c>
      <c r="T94" s="290">
        <v>13793249</v>
      </c>
      <c r="U94" s="290">
        <v>9341142</v>
      </c>
      <c r="V94" s="292">
        <f t="shared" si="9"/>
        <v>23134391</v>
      </c>
      <c r="W94" s="294">
        <f t="shared" si="11"/>
        <v>6.702122277851263</v>
      </c>
      <c r="X94" s="294">
        <f t="shared" si="12"/>
        <v>4.3494112007489205</v>
      </c>
      <c r="Y94" s="294">
        <f t="shared" si="13"/>
        <v>0.64896028756780089</v>
      </c>
      <c r="Z94" s="294"/>
      <c r="AA94" s="295">
        <f t="shared" si="14"/>
        <v>0.59920521048482089</v>
      </c>
      <c r="AB94" s="94">
        <f t="shared" si="15"/>
        <v>2.4584524471530926</v>
      </c>
      <c r="AC94" s="160"/>
      <c r="AD94" s="93"/>
      <c r="AE94" s="160"/>
      <c r="AF94" s="92"/>
      <c r="AG94" s="276"/>
      <c r="AH94" s="276"/>
    </row>
    <row r="95" spans="2:34" s="94" customFormat="1" ht="21" customHeight="1" x14ac:dyDescent="0.25">
      <c r="B95" s="286"/>
      <c r="C95" s="289" t="s">
        <v>193</v>
      </c>
      <c r="D95" s="290">
        <v>15115</v>
      </c>
      <c r="E95" s="291">
        <v>747024.60800000001</v>
      </c>
      <c r="F95" s="292">
        <f>D95+E95</f>
        <v>762139.60800000001</v>
      </c>
      <c r="G95" s="290">
        <v>15047.65</v>
      </c>
      <c r="H95" s="290">
        <v>46822</v>
      </c>
      <c r="I95" s="292">
        <f>G95+H95</f>
        <v>61869.65</v>
      </c>
      <c r="J95" s="293">
        <f t="shared" si="10"/>
        <v>8.1178893408200878E-2</v>
      </c>
      <c r="K95" s="290">
        <v>9730</v>
      </c>
      <c r="L95" s="290">
        <f t="shared" si="6"/>
        <v>9730</v>
      </c>
      <c r="M95" s="292" t="e">
        <f>#REF!+L95</f>
        <v>#REF!</v>
      </c>
      <c r="N95" s="290">
        <v>12070</v>
      </c>
      <c r="O95" s="290">
        <v>54476</v>
      </c>
      <c r="P95" s="292">
        <f>N95+O95</f>
        <v>66546</v>
      </c>
      <c r="Q95" s="290">
        <v>12163</v>
      </c>
      <c r="R95" s="290">
        <v>44395</v>
      </c>
      <c r="S95" s="292">
        <f t="shared" si="8"/>
        <v>56558</v>
      </c>
      <c r="T95" s="290">
        <v>24800</v>
      </c>
      <c r="U95" s="290">
        <v>262835</v>
      </c>
      <c r="V95" s="292">
        <f t="shared" si="9"/>
        <v>287635</v>
      </c>
      <c r="W95" s="294">
        <f t="shared" si="11"/>
        <v>9.8180197286473498E-3</v>
      </c>
      <c r="X95" s="294">
        <f t="shared" si="12"/>
        <v>5.4077191430170597E-2</v>
      </c>
      <c r="Y95" s="294">
        <f t="shared" si="13"/>
        <v>5.5079530215632326</v>
      </c>
      <c r="Z95" s="294"/>
      <c r="AA95" s="295">
        <f t="shared" si="14"/>
        <v>5.0856642738427809</v>
      </c>
      <c r="AB95" s="94">
        <f t="shared" si="15"/>
        <v>20.865746092747909</v>
      </c>
      <c r="AC95" s="160"/>
      <c r="AD95" s="93"/>
      <c r="AE95" s="160"/>
      <c r="AF95" s="92"/>
      <c r="AG95" s="276"/>
      <c r="AH95" s="276"/>
    </row>
    <row r="96" spans="2:34" s="94" customFormat="1" ht="21" customHeight="1" x14ac:dyDescent="0.25">
      <c r="B96" s="286"/>
      <c r="C96" s="289" t="s">
        <v>8</v>
      </c>
      <c r="D96" s="290">
        <v>39804</v>
      </c>
      <c r="E96" s="291">
        <v>70181</v>
      </c>
      <c r="F96" s="292">
        <f>D96+E96</f>
        <v>109985</v>
      </c>
      <c r="G96" s="290">
        <v>11353.99</v>
      </c>
      <c r="H96" s="290">
        <v>108200</v>
      </c>
      <c r="I96" s="292">
        <f>G96+H96</f>
        <v>119553.99</v>
      </c>
      <c r="J96" s="293">
        <f t="shared" si="10"/>
        <v>1.0870026821839343</v>
      </c>
      <c r="K96" s="290">
        <v>13924</v>
      </c>
      <c r="L96" s="290">
        <f t="shared" si="6"/>
        <v>13924</v>
      </c>
      <c r="M96" s="292" t="e">
        <f>#REF!+L96</f>
        <v>#REF!</v>
      </c>
      <c r="N96" s="290">
        <v>20381</v>
      </c>
      <c r="O96" s="290">
        <v>180121</v>
      </c>
      <c r="P96" s="292">
        <f>N96+O96</f>
        <v>200502</v>
      </c>
      <c r="Q96" s="290">
        <v>13691</v>
      </c>
      <c r="R96" s="290">
        <v>68199</v>
      </c>
      <c r="S96" s="292">
        <f t="shared" si="8"/>
        <v>81890</v>
      </c>
      <c r="T96" s="290">
        <v>13729</v>
      </c>
      <c r="U96" s="290">
        <v>48772</v>
      </c>
      <c r="V96" s="292">
        <f t="shared" si="9"/>
        <v>62501</v>
      </c>
      <c r="W96" s="294">
        <f t="shared" si="11"/>
        <v>1.421545379219441E-2</v>
      </c>
      <c r="X96" s="294">
        <f t="shared" si="12"/>
        <v>1.1750581610642281E-2</v>
      </c>
      <c r="Y96" s="294">
        <f t="shared" si="13"/>
        <v>0.82660615569616425</v>
      </c>
      <c r="Z96" s="294"/>
      <c r="AA96" s="295">
        <f t="shared" si="14"/>
        <v>0.76323116375625843</v>
      </c>
      <c r="AB96" s="94">
        <f t="shared" si="15"/>
        <v>3.131427246371731</v>
      </c>
      <c r="AC96" s="160"/>
      <c r="AD96" s="93"/>
      <c r="AE96" s="160"/>
      <c r="AF96" s="92"/>
      <c r="AG96" s="276"/>
      <c r="AH96" s="276"/>
    </row>
    <row r="97" spans="2:34" s="94" customFormat="1" ht="21" customHeight="1" x14ac:dyDescent="0.25">
      <c r="B97" s="286"/>
      <c r="C97" s="289" t="s">
        <v>9</v>
      </c>
      <c r="D97" s="290">
        <v>3802609</v>
      </c>
      <c r="E97" s="291">
        <v>3607111</v>
      </c>
      <c r="F97" s="292">
        <f t="shared" si="4"/>
        <v>7409720</v>
      </c>
      <c r="G97" s="290">
        <v>5015719</v>
      </c>
      <c r="H97" s="290">
        <v>3584924</v>
      </c>
      <c r="I97" s="292">
        <f t="shared" si="5"/>
        <v>8600643</v>
      </c>
      <c r="J97" s="293">
        <f t="shared" si="10"/>
        <v>1.1607244268339425</v>
      </c>
      <c r="K97" s="290">
        <v>4905326</v>
      </c>
      <c r="L97" s="290">
        <f t="shared" si="6"/>
        <v>4905326</v>
      </c>
      <c r="M97" s="292" t="e">
        <f>#REF!+L97</f>
        <v>#REF!</v>
      </c>
      <c r="N97" s="290">
        <v>5150592</v>
      </c>
      <c r="O97" s="290">
        <v>6038696</v>
      </c>
      <c r="P97" s="292">
        <f t="shared" si="7"/>
        <v>11189288</v>
      </c>
      <c r="Q97" s="290">
        <v>4506594</v>
      </c>
      <c r="R97" s="290">
        <v>4804367</v>
      </c>
      <c r="S97" s="292">
        <f t="shared" si="8"/>
        <v>9310961</v>
      </c>
      <c r="T97" s="290">
        <v>9586556</v>
      </c>
      <c r="U97" s="290">
        <v>4804367</v>
      </c>
      <c r="V97" s="292">
        <f t="shared" si="9"/>
        <v>14390923</v>
      </c>
      <c r="W97" s="294">
        <f t="shared" si="11"/>
        <v>1.6163089004325832</v>
      </c>
      <c r="X97" s="294">
        <f t="shared" si="12"/>
        <v>2.7055841532770524</v>
      </c>
      <c r="Y97" s="294">
        <f t="shared" si="13"/>
        <v>1.6739276462271162</v>
      </c>
      <c r="Z97" s="294"/>
      <c r="AA97" s="295">
        <f t="shared" si="14"/>
        <v>1.5455894402307131</v>
      </c>
      <c r="AB97" s="94">
        <f t="shared" si="15"/>
        <v>6.3413302740721589</v>
      </c>
      <c r="AC97" s="160"/>
      <c r="AD97" s="93"/>
      <c r="AE97" s="160"/>
      <c r="AF97" s="92"/>
      <c r="AG97" s="276"/>
      <c r="AH97" s="276"/>
    </row>
    <row r="98" spans="2:34" s="94" customFormat="1" ht="21" customHeight="1" x14ac:dyDescent="0.25">
      <c r="B98" s="286"/>
      <c r="C98" s="289" t="s">
        <v>10</v>
      </c>
      <c r="D98" s="290">
        <v>679452.26649999991</v>
      </c>
      <c r="E98" s="291">
        <v>979732.52173799998</v>
      </c>
      <c r="F98" s="292">
        <f t="shared" si="4"/>
        <v>1659184.7882379999</v>
      </c>
      <c r="G98" s="290">
        <v>709042</v>
      </c>
      <c r="H98" s="290">
        <v>1116169</v>
      </c>
      <c r="I98" s="292">
        <f t="shared" si="5"/>
        <v>1825211</v>
      </c>
      <c r="J98" s="293">
        <f t="shared" si="10"/>
        <v>1.1000649312475403</v>
      </c>
      <c r="K98" s="290">
        <v>1148288</v>
      </c>
      <c r="L98" s="290">
        <f t="shared" si="6"/>
        <v>1148288</v>
      </c>
      <c r="M98" s="292" t="e">
        <f>#REF!+L98</f>
        <v>#REF!</v>
      </c>
      <c r="N98" s="290">
        <v>794901</v>
      </c>
      <c r="O98" s="290">
        <v>1849197</v>
      </c>
      <c r="P98" s="292">
        <f t="shared" si="7"/>
        <v>2644098</v>
      </c>
      <c r="Q98" s="290">
        <v>1289975</v>
      </c>
      <c r="R98" s="290">
        <v>1892408</v>
      </c>
      <c r="S98" s="292">
        <f t="shared" si="8"/>
        <v>3182383</v>
      </c>
      <c r="T98" s="290">
        <v>1708915</v>
      </c>
      <c r="U98" s="290">
        <v>2497404</v>
      </c>
      <c r="V98" s="292">
        <f t="shared" si="9"/>
        <v>4206319</v>
      </c>
      <c r="W98" s="294">
        <f t="shared" si="11"/>
        <v>0.55243642063212872</v>
      </c>
      <c r="X98" s="294">
        <f t="shared" si="12"/>
        <v>0.79081446200693162</v>
      </c>
      <c r="Y98" s="294">
        <f t="shared" si="13"/>
        <v>1.4315031241098068</v>
      </c>
      <c r="Z98" s="294"/>
      <c r="AA98" s="295">
        <f t="shared" si="14"/>
        <v>1.3217513416832607</v>
      </c>
      <c r="AB98" s="94">
        <f t="shared" si="15"/>
        <v>5.422954880282056</v>
      </c>
      <c r="AC98" s="160"/>
      <c r="AD98" s="93"/>
      <c r="AE98" s="160"/>
      <c r="AF98" s="92"/>
      <c r="AG98" s="276"/>
      <c r="AH98" s="276"/>
    </row>
    <row r="99" spans="2:34" s="94" customFormat="1" ht="21" customHeight="1" x14ac:dyDescent="0.25">
      <c r="B99" s="286"/>
      <c r="C99" s="289" t="s">
        <v>11</v>
      </c>
      <c r="D99" s="290">
        <v>490919.83199999999</v>
      </c>
      <c r="E99" s="291">
        <v>305440</v>
      </c>
      <c r="F99" s="292">
        <f>D99+E99</f>
        <v>796359.83199999994</v>
      </c>
      <c r="G99" s="290">
        <v>501773</v>
      </c>
      <c r="H99" s="290">
        <v>254381</v>
      </c>
      <c r="I99" s="292">
        <f>G99+H99</f>
        <v>756154</v>
      </c>
      <c r="J99" s="293">
        <f t="shared" si="10"/>
        <v>0.94951298347252655</v>
      </c>
      <c r="K99" s="290">
        <v>339560</v>
      </c>
      <c r="L99" s="290">
        <f t="shared" si="6"/>
        <v>339560</v>
      </c>
      <c r="M99" s="292" t="e">
        <f>#REF!+L99</f>
        <v>#REF!</v>
      </c>
      <c r="N99" s="290">
        <v>410354</v>
      </c>
      <c r="O99" s="290">
        <v>126366</v>
      </c>
      <c r="P99" s="292">
        <f>N99+O99</f>
        <v>536720</v>
      </c>
      <c r="Q99" s="290">
        <v>443737</v>
      </c>
      <c r="R99" s="290">
        <v>138204</v>
      </c>
      <c r="S99" s="292">
        <f t="shared" si="8"/>
        <v>581941</v>
      </c>
      <c r="T99" s="290">
        <v>419998</v>
      </c>
      <c r="U99" s="290">
        <v>199300</v>
      </c>
      <c r="V99" s="292">
        <f t="shared" si="9"/>
        <v>619298</v>
      </c>
      <c r="W99" s="294">
        <f t="shared" si="11"/>
        <v>0.10102033697989261</v>
      </c>
      <c r="X99" s="294">
        <f t="shared" si="12"/>
        <v>0.11643192413413456</v>
      </c>
      <c r="Y99" s="294">
        <f t="shared" si="13"/>
        <v>1.1525592530671276</v>
      </c>
      <c r="Z99" s="294"/>
      <c r="AA99" s="295">
        <f t="shared" si="14"/>
        <v>1.0641937928415424</v>
      </c>
      <c r="AB99" s="94">
        <f t="shared" si="15"/>
        <v>4.3662334513739953</v>
      </c>
      <c r="AC99" s="160"/>
      <c r="AD99" s="93"/>
      <c r="AE99" s="160"/>
      <c r="AF99" s="92"/>
      <c r="AG99" s="276"/>
      <c r="AH99" s="276"/>
    </row>
    <row r="100" spans="2:34" s="94" customFormat="1" ht="21" customHeight="1" x14ac:dyDescent="0.25">
      <c r="B100" s="286"/>
      <c r="C100" s="289" t="s">
        <v>12</v>
      </c>
      <c r="D100" s="290">
        <v>751355</v>
      </c>
      <c r="E100" s="291">
        <v>540322</v>
      </c>
      <c r="F100" s="292">
        <f t="shared" si="4"/>
        <v>1291677</v>
      </c>
      <c r="G100" s="290">
        <v>833122.71</v>
      </c>
      <c r="H100" s="290">
        <v>449768</v>
      </c>
      <c r="I100" s="292">
        <f t="shared" si="5"/>
        <v>1282890.71</v>
      </c>
      <c r="J100" s="293">
        <f t="shared" si="10"/>
        <v>0.99319776538561877</v>
      </c>
      <c r="K100" s="290">
        <v>735142</v>
      </c>
      <c r="L100" s="290">
        <f t="shared" si="6"/>
        <v>735142</v>
      </c>
      <c r="M100" s="292" t="e">
        <f>#REF!+L100</f>
        <v>#REF!</v>
      </c>
      <c r="N100" s="290">
        <v>769102</v>
      </c>
      <c r="O100" s="290">
        <v>908222</v>
      </c>
      <c r="P100" s="292">
        <f t="shared" si="7"/>
        <v>1677324</v>
      </c>
      <c r="Q100" s="290">
        <v>1147352</v>
      </c>
      <c r="R100" s="290">
        <v>972752</v>
      </c>
      <c r="S100" s="292">
        <f t="shared" si="8"/>
        <v>2120104</v>
      </c>
      <c r="T100" s="290">
        <v>1144848</v>
      </c>
      <c r="U100" s="290">
        <v>674614</v>
      </c>
      <c r="V100" s="292">
        <f t="shared" si="9"/>
        <v>1819462</v>
      </c>
      <c r="W100" s="294">
        <f t="shared" si="11"/>
        <v>0.36803322074302769</v>
      </c>
      <c r="X100" s="294">
        <f t="shared" si="12"/>
        <v>0.34207031437036889</v>
      </c>
      <c r="Y100" s="294">
        <f t="shared" si="13"/>
        <v>0.92945499235030493</v>
      </c>
      <c r="Z100" s="294"/>
      <c r="AA100" s="295">
        <f t="shared" si="14"/>
        <v>0.85819469233584766</v>
      </c>
      <c r="AB100" s="94">
        <f t="shared" si="15"/>
        <v>3.5210488904123212</v>
      </c>
      <c r="AC100" s="160"/>
      <c r="AD100" s="93"/>
      <c r="AE100" s="160"/>
      <c r="AF100" s="92"/>
      <c r="AG100" s="276"/>
      <c r="AH100" s="276"/>
    </row>
    <row r="101" spans="2:34" s="94" customFormat="1" ht="21" customHeight="1" x14ac:dyDescent="0.25">
      <c r="B101" s="286"/>
      <c r="C101" s="289" t="s">
        <v>13</v>
      </c>
      <c r="D101" s="290">
        <v>359295</v>
      </c>
      <c r="E101" s="291">
        <v>1815345</v>
      </c>
      <c r="F101" s="292">
        <f t="shared" si="4"/>
        <v>2174640</v>
      </c>
      <c r="G101" s="290">
        <v>355184</v>
      </c>
      <c r="H101" s="290">
        <v>1292100</v>
      </c>
      <c r="I101" s="292">
        <f t="shared" si="5"/>
        <v>1647284</v>
      </c>
      <c r="J101" s="293">
        <f t="shared" si="10"/>
        <v>0.75749733289188093</v>
      </c>
      <c r="K101" s="290">
        <v>491666</v>
      </c>
      <c r="L101" s="290">
        <f t="shared" si="6"/>
        <v>491666</v>
      </c>
      <c r="M101" s="292" t="e">
        <f>#REF!+L101</f>
        <v>#REF!</v>
      </c>
      <c r="N101" s="290">
        <v>316115</v>
      </c>
      <c r="O101" s="290">
        <v>1194112</v>
      </c>
      <c r="P101" s="292">
        <f t="shared" si="7"/>
        <v>1510227</v>
      </c>
      <c r="Q101" s="290">
        <v>398116</v>
      </c>
      <c r="R101" s="290">
        <v>5740941</v>
      </c>
      <c r="S101" s="292">
        <f t="shared" si="8"/>
        <v>6139057</v>
      </c>
      <c r="T101" s="290">
        <v>401966</v>
      </c>
      <c r="U101" s="290">
        <v>1491792</v>
      </c>
      <c r="V101" s="292">
        <f t="shared" si="9"/>
        <v>1893758</v>
      </c>
      <c r="W101" s="294">
        <f t="shared" si="11"/>
        <v>1.0656915509970404</v>
      </c>
      <c r="X101" s="294">
        <f t="shared" si="12"/>
        <v>0.35603843026202314</v>
      </c>
      <c r="Y101" s="294">
        <f t="shared" si="13"/>
        <v>0.33409144506111593</v>
      </c>
      <c r="Z101" s="294"/>
      <c r="AA101" s="295">
        <f t="shared" si="14"/>
        <v>0.30847701853884074</v>
      </c>
      <c r="AB101" s="94">
        <f t="shared" si="15"/>
        <v>1.2656366597741961</v>
      </c>
      <c r="AC101" s="160"/>
      <c r="AD101" s="93"/>
      <c r="AE101" s="160"/>
      <c r="AF101" s="92"/>
      <c r="AG101" s="276"/>
      <c r="AH101" s="276"/>
    </row>
    <row r="102" spans="2:34" s="94" customFormat="1" ht="21" customHeight="1" x14ac:dyDescent="0.25">
      <c r="B102" s="286"/>
      <c r="C102" s="289" t="s">
        <v>14</v>
      </c>
      <c r="D102" s="290">
        <v>1867043</v>
      </c>
      <c r="E102" s="291">
        <v>2195979</v>
      </c>
      <c r="F102" s="292">
        <f t="shared" si="4"/>
        <v>4063022</v>
      </c>
      <c r="G102" s="290">
        <v>1773965</v>
      </c>
      <c r="H102" s="290">
        <v>1766959</v>
      </c>
      <c r="I102" s="292">
        <f t="shared" si="5"/>
        <v>3540924</v>
      </c>
      <c r="J102" s="293">
        <f t="shared" si="10"/>
        <v>0.87150008048196637</v>
      </c>
      <c r="K102" s="290">
        <v>1956037</v>
      </c>
      <c r="L102" s="290">
        <f t="shared" si="6"/>
        <v>1956037</v>
      </c>
      <c r="M102" s="292" t="e">
        <f>#REF!+L102</f>
        <v>#REF!</v>
      </c>
      <c r="N102" s="290">
        <v>2071561</v>
      </c>
      <c r="O102" s="290">
        <v>1423012</v>
      </c>
      <c r="P102" s="292">
        <f t="shared" si="7"/>
        <v>3494573</v>
      </c>
      <c r="Q102" s="290">
        <v>2401077</v>
      </c>
      <c r="R102" s="290">
        <v>1952300</v>
      </c>
      <c r="S102" s="292">
        <f t="shared" si="8"/>
        <v>4353377</v>
      </c>
      <c r="T102" s="290">
        <v>2492004</v>
      </c>
      <c r="U102" s="290">
        <v>1508514</v>
      </c>
      <c r="V102" s="292">
        <f t="shared" si="9"/>
        <v>4000518</v>
      </c>
      <c r="W102" s="294">
        <f t="shared" si="11"/>
        <v>0.75571168132252931</v>
      </c>
      <c r="X102" s="294">
        <f t="shared" si="12"/>
        <v>0.75212257794024795</v>
      </c>
      <c r="Y102" s="294">
        <f t="shared" si="13"/>
        <v>0.99525069749351991</v>
      </c>
      <c r="Z102" s="294"/>
      <c r="AA102" s="295">
        <f t="shared" si="14"/>
        <v>0.9189459125639704</v>
      </c>
      <c r="AB102" s="94">
        <f t="shared" si="15"/>
        <v>3.7703023739000927</v>
      </c>
      <c r="AC102" s="160"/>
      <c r="AD102" s="93"/>
      <c r="AE102" s="160"/>
      <c r="AF102" s="92"/>
      <c r="AG102" s="276"/>
      <c r="AH102" s="276"/>
    </row>
    <row r="103" spans="2:34" s="94" customFormat="1" ht="21" customHeight="1" x14ac:dyDescent="0.25">
      <c r="B103" s="286"/>
      <c r="C103" s="289" t="s">
        <v>194</v>
      </c>
      <c r="D103" s="290">
        <v>587111</v>
      </c>
      <c r="E103" s="291">
        <v>404106.06761000003</v>
      </c>
      <c r="F103" s="292">
        <f>D103+E103</f>
        <v>991217.06761000003</v>
      </c>
      <c r="G103" s="290">
        <v>627237.49</v>
      </c>
      <c r="H103" s="290">
        <v>442866</v>
      </c>
      <c r="I103" s="292">
        <f>G103+H103</f>
        <v>1070103.49</v>
      </c>
      <c r="J103" s="293">
        <f t="shared" si="10"/>
        <v>1.079585415715459</v>
      </c>
      <c r="K103" s="290">
        <v>822739</v>
      </c>
      <c r="L103" s="290">
        <f t="shared" si="6"/>
        <v>822739</v>
      </c>
      <c r="M103" s="292" t="e">
        <f>#REF!+L103</f>
        <v>#REF!</v>
      </c>
      <c r="N103" s="290">
        <v>663523</v>
      </c>
      <c r="O103" s="290">
        <v>449690</v>
      </c>
      <c r="P103" s="292">
        <f>N103+O103</f>
        <v>1113213</v>
      </c>
      <c r="Q103" s="290">
        <v>820443</v>
      </c>
      <c r="R103" s="290">
        <v>455623</v>
      </c>
      <c r="S103" s="292">
        <f t="shared" si="8"/>
        <v>1276066</v>
      </c>
      <c r="T103" s="290">
        <v>779421</v>
      </c>
      <c r="U103" s="290">
        <v>439921</v>
      </c>
      <c r="V103" s="292">
        <f t="shared" si="9"/>
        <v>1219342</v>
      </c>
      <c r="W103" s="294">
        <f t="shared" si="11"/>
        <v>0.22151492561717367</v>
      </c>
      <c r="X103" s="294">
        <f t="shared" si="12"/>
        <v>0.22924397501294028</v>
      </c>
      <c r="Y103" s="294">
        <f t="shared" si="13"/>
        <v>1.0348917770404513</v>
      </c>
      <c r="Z103" s="294"/>
      <c r="AA103" s="295">
        <f t="shared" si="14"/>
        <v>0.95554775379956836</v>
      </c>
      <c r="AB103" s="94">
        <f t="shared" si="15"/>
        <v>3.9204744428030951</v>
      </c>
      <c r="AC103" s="160"/>
      <c r="AD103" s="93"/>
      <c r="AE103" s="160"/>
      <c r="AF103" s="92"/>
      <c r="AG103" s="276"/>
      <c r="AH103" s="276"/>
    </row>
    <row r="104" spans="2:34" s="94" customFormat="1" ht="21" customHeight="1" x14ac:dyDescent="0.25">
      <c r="B104" s="286"/>
      <c r="C104" s="289" t="s">
        <v>195</v>
      </c>
      <c r="D104" s="290">
        <v>1034790</v>
      </c>
      <c r="E104" s="291">
        <v>1930723.26</v>
      </c>
      <c r="F104" s="292">
        <f t="shared" si="4"/>
        <v>2965513.26</v>
      </c>
      <c r="G104" s="290">
        <v>1086831.6499999999</v>
      </c>
      <c r="H104" s="290">
        <v>967094</v>
      </c>
      <c r="I104" s="292">
        <f t="shared" si="5"/>
        <v>2053925.65</v>
      </c>
      <c r="J104" s="293">
        <f t="shared" si="10"/>
        <v>0.69260376532593892</v>
      </c>
      <c r="K104" s="290">
        <v>1094653</v>
      </c>
      <c r="L104" s="290">
        <f t="shared" si="6"/>
        <v>1094653</v>
      </c>
      <c r="M104" s="292" t="e">
        <f>#REF!+L104</f>
        <v>#REF!</v>
      </c>
      <c r="N104" s="290">
        <v>1253849</v>
      </c>
      <c r="O104" s="290">
        <v>940495</v>
      </c>
      <c r="P104" s="292">
        <f t="shared" si="7"/>
        <v>2194344</v>
      </c>
      <c r="Q104" s="290">
        <v>1597920</v>
      </c>
      <c r="R104" s="290">
        <v>940466</v>
      </c>
      <c r="S104" s="292">
        <f t="shared" si="8"/>
        <v>2538386</v>
      </c>
      <c r="T104" s="290">
        <v>1947699</v>
      </c>
      <c r="U104" s="290">
        <v>2366954</v>
      </c>
      <c r="V104" s="292">
        <f t="shared" si="9"/>
        <v>4314653</v>
      </c>
      <c r="W104" s="294">
        <f t="shared" si="11"/>
        <v>0.44064365477778972</v>
      </c>
      <c r="X104" s="294">
        <f t="shared" si="12"/>
        <v>0.81118193625866075</v>
      </c>
      <c r="Y104" s="294">
        <f t="shared" si="13"/>
        <v>1.840902342432976</v>
      </c>
      <c r="Z104" s="294"/>
      <c r="AA104" s="295">
        <f t="shared" si="14"/>
        <v>1.699762368686244</v>
      </c>
      <c r="AB104" s="94">
        <f t="shared" si="15"/>
        <v>6.9738795353504202</v>
      </c>
      <c r="AC104" s="160"/>
      <c r="AD104" s="93"/>
      <c r="AE104" s="160"/>
      <c r="AF104" s="92"/>
      <c r="AG104" s="276"/>
      <c r="AH104" s="276"/>
    </row>
    <row r="105" spans="2:34" s="94" customFormat="1" ht="21" customHeight="1" x14ac:dyDescent="0.25">
      <c r="B105" s="286"/>
      <c r="C105" s="289" t="s">
        <v>16</v>
      </c>
      <c r="D105" s="290">
        <v>3445369.4415000002</v>
      </c>
      <c r="E105" s="291">
        <v>7876143</v>
      </c>
      <c r="F105" s="292">
        <f t="shared" si="4"/>
        <v>11321512.441500001</v>
      </c>
      <c r="G105" s="290">
        <v>3855604</v>
      </c>
      <c r="H105" s="290">
        <v>8804594</v>
      </c>
      <c r="I105" s="292">
        <f t="shared" si="5"/>
        <v>12660198</v>
      </c>
      <c r="J105" s="293">
        <f t="shared" si="10"/>
        <v>1.1182426434115755</v>
      </c>
      <c r="K105" s="290">
        <v>4866806</v>
      </c>
      <c r="L105" s="290">
        <f t="shared" si="6"/>
        <v>4866806</v>
      </c>
      <c r="M105" s="292" t="e">
        <f>#REF!+L105</f>
        <v>#REF!</v>
      </c>
      <c r="N105" s="290">
        <v>5539545</v>
      </c>
      <c r="O105" s="290">
        <v>8664084</v>
      </c>
      <c r="P105" s="292">
        <f t="shared" si="7"/>
        <v>14203629</v>
      </c>
      <c r="Q105" s="290">
        <v>3479641</v>
      </c>
      <c r="R105" s="290">
        <v>9070244</v>
      </c>
      <c r="S105" s="292">
        <f t="shared" si="8"/>
        <v>12549885</v>
      </c>
      <c r="T105" s="290">
        <v>4175631</v>
      </c>
      <c r="U105" s="290">
        <v>11054340</v>
      </c>
      <c r="V105" s="292">
        <f t="shared" si="9"/>
        <v>15229971</v>
      </c>
      <c r="W105" s="294">
        <f t="shared" si="11"/>
        <v>2.1785603897283399</v>
      </c>
      <c r="X105" s="294">
        <f t="shared" si="12"/>
        <v>2.8633304613240629</v>
      </c>
      <c r="Y105" s="294">
        <f t="shared" si="13"/>
        <v>1.3143222812754398</v>
      </c>
      <c r="Z105" s="294"/>
      <c r="AA105" s="295">
        <f t="shared" si="14"/>
        <v>1.2135546261977699</v>
      </c>
      <c r="AB105" s="94">
        <f t="shared" si="15"/>
        <v>4.9790393813764089</v>
      </c>
      <c r="AC105" s="160"/>
      <c r="AD105" s="93"/>
      <c r="AE105" s="160"/>
      <c r="AF105" s="92"/>
      <c r="AG105" s="276"/>
      <c r="AH105" s="276"/>
    </row>
    <row r="106" spans="2:34" s="94" customFormat="1" ht="21" customHeight="1" x14ac:dyDescent="0.25">
      <c r="B106" s="286"/>
      <c r="C106" s="289" t="s">
        <v>17</v>
      </c>
      <c r="D106" s="290">
        <v>1263023</v>
      </c>
      <c r="E106" s="291">
        <v>1192004</v>
      </c>
      <c r="F106" s="292">
        <f t="shared" si="4"/>
        <v>2455027</v>
      </c>
      <c r="G106" s="290">
        <v>1110492</v>
      </c>
      <c r="H106" s="290">
        <v>1122164</v>
      </c>
      <c r="I106" s="292">
        <f t="shared" si="5"/>
        <v>2232656</v>
      </c>
      <c r="J106" s="293">
        <f t="shared" si="10"/>
        <v>0.90942217743430109</v>
      </c>
      <c r="K106" s="290">
        <v>1658234</v>
      </c>
      <c r="L106" s="290">
        <f t="shared" si="6"/>
        <v>1658234</v>
      </c>
      <c r="M106" s="292" t="e">
        <f>#REF!+L106</f>
        <v>#REF!</v>
      </c>
      <c r="N106" s="290">
        <v>7245605</v>
      </c>
      <c r="O106" s="290">
        <v>2154134</v>
      </c>
      <c r="P106" s="292">
        <f t="shared" si="7"/>
        <v>9399739</v>
      </c>
      <c r="Q106" s="290">
        <v>10124268</v>
      </c>
      <c r="R106" s="290">
        <v>2195063</v>
      </c>
      <c r="S106" s="292">
        <f t="shared" si="8"/>
        <v>12319331</v>
      </c>
      <c r="T106" s="290">
        <v>9857632</v>
      </c>
      <c r="U106" s="290">
        <v>1690991</v>
      </c>
      <c r="V106" s="292">
        <f t="shared" si="9"/>
        <v>11548623</v>
      </c>
      <c r="W106" s="294">
        <f t="shared" si="11"/>
        <v>2.1385380459304941</v>
      </c>
      <c r="X106" s="294">
        <f t="shared" si="12"/>
        <v>2.1712138534109933</v>
      </c>
      <c r="Y106" s="294">
        <f t="shared" si="13"/>
        <v>1.0152795072047838</v>
      </c>
      <c r="Z106" s="294"/>
      <c r="AA106" s="295">
        <f t="shared" si="14"/>
        <v>0.93743913529070699</v>
      </c>
      <c r="AB106" s="94">
        <f t="shared" si="15"/>
        <v>3.8461773961341401</v>
      </c>
      <c r="AC106" s="160"/>
      <c r="AD106" s="93"/>
      <c r="AE106" s="160"/>
      <c r="AF106" s="92"/>
      <c r="AG106" s="276"/>
      <c r="AH106" s="276"/>
    </row>
    <row r="107" spans="2:34" s="94" customFormat="1" ht="21" customHeight="1" x14ac:dyDescent="0.25">
      <c r="B107" s="286"/>
      <c r="C107" s="289" t="s">
        <v>18</v>
      </c>
      <c r="D107" s="290">
        <v>38607672.27335</v>
      </c>
      <c r="E107" s="291">
        <v>102423063.05140001</v>
      </c>
      <c r="F107" s="292">
        <f>D107+E107</f>
        <v>141030735.32475001</v>
      </c>
      <c r="G107" s="290">
        <v>38794615</v>
      </c>
      <c r="H107" s="290">
        <v>103320484</v>
      </c>
      <c r="I107" s="292">
        <f>G107+H107</f>
        <v>142115099</v>
      </c>
      <c r="J107" s="293">
        <f t="shared" si="10"/>
        <v>1.0076888464968508</v>
      </c>
      <c r="K107" s="290">
        <v>54217860</v>
      </c>
      <c r="L107" s="290">
        <f t="shared" si="6"/>
        <v>54217860</v>
      </c>
      <c r="M107" s="292" t="e">
        <f>#REF!+L107</f>
        <v>#REF!</v>
      </c>
      <c r="N107" s="290">
        <v>55997783</v>
      </c>
      <c r="O107" s="290">
        <v>119764263</v>
      </c>
      <c r="P107" s="292">
        <f>N107+O107</f>
        <v>175762046</v>
      </c>
      <c r="Q107" s="290">
        <v>61230587</v>
      </c>
      <c r="R107" s="290">
        <v>175087263</v>
      </c>
      <c r="S107" s="292">
        <f t="shared" si="8"/>
        <v>236317850</v>
      </c>
      <c r="T107" s="290">
        <v>54315284</v>
      </c>
      <c r="U107" s="290">
        <v>132307345</v>
      </c>
      <c r="V107" s="292">
        <f t="shared" si="9"/>
        <v>186622629</v>
      </c>
      <c r="W107" s="294">
        <f t="shared" si="11"/>
        <v>41.022902392791913</v>
      </c>
      <c r="X107" s="294">
        <f t="shared" si="12"/>
        <v>35.086229539641238</v>
      </c>
      <c r="Y107" s="294">
        <f t="shared" si="13"/>
        <v>0.85528393880307696</v>
      </c>
      <c r="Z107" s="294"/>
      <c r="AA107" s="295">
        <f t="shared" si="14"/>
        <v>0.78971025252641724</v>
      </c>
      <c r="AB107" s="94">
        <f t="shared" si="15"/>
        <v>3.240067123739804</v>
      </c>
      <c r="AC107" s="160"/>
      <c r="AD107" s="93"/>
      <c r="AE107" s="160"/>
      <c r="AF107" s="92"/>
      <c r="AG107" s="276"/>
      <c r="AH107" s="276"/>
    </row>
    <row r="108" spans="2:34" s="94" customFormat="1" ht="21" customHeight="1" x14ac:dyDescent="0.25">
      <c r="B108" s="286"/>
      <c r="C108" s="289" t="s">
        <v>19</v>
      </c>
      <c r="D108" s="290">
        <v>1053724</v>
      </c>
      <c r="E108" s="291">
        <v>1760700</v>
      </c>
      <c r="F108" s="292">
        <f t="shared" si="4"/>
        <v>2814424</v>
      </c>
      <c r="G108" s="290">
        <v>974443</v>
      </c>
      <c r="H108" s="290">
        <v>1955033</v>
      </c>
      <c r="I108" s="292">
        <f t="shared" si="5"/>
        <v>2929476</v>
      </c>
      <c r="J108" s="293">
        <f t="shared" si="10"/>
        <v>1.0408794126258161</v>
      </c>
      <c r="K108" s="290">
        <v>1147813</v>
      </c>
      <c r="L108" s="290">
        <f t="shared" si="6"/>
        <v>1147813</v>
      </c>
      <c r="M108" s="292" t="e">
        <f>#REF!+L108</f>
        <v>#REF!</v>
      </c>
      <c r="N108" s="290">
        <v>940511</v>
      </c>
      <c r="O108" s="290">
        <v>2266380</v>
      </c>
      <c r="P108" s="292">
        <f t="shared" si="7"/>
        <v>3206891</v>
      </c>
      <c r="Q108" s="290">
        <v>680921</v>
      </c>
      <c r="R108" s="290">
        <v>835671</v>
      </c>
      <c r="S108" s="292">
        <f t="shared" si="8"/>
        <v>1516592</v>
      </c>
      <c r="T108" s="290">
        <v>830670</v>
      </c>
      <c r="U108" s="290">
        <v>835671</v>
      </c>
      <c r="V108" s="292">
        <f t="shared" si="9"/>
        <v>1666341</v>
      </c>
      <c r="W108" s="294">
        <f t="shared" si="11"/>
        <v>0.26326832943719264</v>
      </c>
      <c r="X108" s="294">
        <f t="shared" si="12"/>
        <v>0.31328260206491532</v>
      </c>
      <c r="Y108" s="294">
        <f t="shared" si="13"/>
        <v>1.1899745128274326</v>
      </c>
      <c r="Z108" s="294"/>
      <c r="AA108" s="295">
        <f t="shared" si="14"/>
        <v>1.0987404654646735</v>
      </c>
      <c r="AB108" s="94">
        <f t="shared" si="15"/>
        <v>4.5079734602477748</v>
      </c>
      <c r="AC108" s="160"/>
      <c r="AD108" s="93"/>
      <c r="AE108" s="160"/>
      <c r="AF108" s="92"/>
      <c r="AG108" s="276"/>
      <c r="AH108" s="276"/>
    </row>
    <row r="109" spans="2:34" s="94" customFormat="1" ht="21" customHeight="1" x14ac:dyDescent="0.25">
      <c r="B109" s="286"/>
      <c r="C109" s="289" t="s">
        <v>20</v>
      </c>
      <c r="D109" s="290">
        <v>4668675</v>
      </c>
      <c r="E109" s="291">
        <v>9408641</v>
      </c>
      <c r="F109" s="292">
        <f t="shared" si="4"/>
        <v>14077316</v>
      </c>
      <c r="G109" s="290">
        <v>5684224</v>
      </c>
      <c r="H109" s="290">
        <v>11342255</v>
      </c>
      <c r="I109" s="292">
        <f t="shared" si="5"/>
        <v>17026479</v>
      </c>
      <c r="J109" s="293">
        <f t="shared" si="10"/>
        <v>1.2094975348994084</v>
      </c>
      <c r="K109" s="290">
        <v>8848537</v>
      </c>
      <c r="L109" s="290">
        <f t="shared" si="6"/>
        <v>8848537</v>
      </c>
      <c r="M109" s="292" t="e">
        <f>#REF!+L109</f>
        <v>#REF!</v>
      </c>
      <c r="N109" s="290">
        <v>8044787</v>
      </c>
      <c r="O109" s="290">
        <v>16525376</v>
      </c>
      <c r="P109" s="292">
        <f t="shared" si="7"/>
        <v>24570163</v>
      </c>
      <c r="Q109" s="290">
        <v>9498957</v>
      </c>
      <c r="R109" s="290">
        <v>18190471</v>
      </c>
      <c r="S109" s="292">
        <f t="shared" si="8"/>
        <v>27689428</v>
      </c>
      <c r="T109" s="290">
        <v>11151231</v>
      </c>
      <c r="U109" s="290">
        <v>17809712</v>
      </c>
      <c r="V109" s="292">
        <f t="shared" si="9"/>
        <v>28960943</v>
      </c>
      <c r="W109" s="294">
        <f t="shared" si="11"/>
        <v>4.8066648463340345</v>
      </c>
      <c r="X109" s="294">
        <f t="shared" si="12"/>
        <v>5.4448396704478217</v>
      </c>
      <c r="Y109" s="294">
        <f t="shared" si="13"/>
        <v>1.1327687376831594</v>
      </c>
      <c r="Z109" s="294"/>
      <c r="AA109" s="295">
        <f t="shared" si="14"/>
        <v>1.0459205946760619</v>
      </c>
      <c r="AB109" s="94">
        <f t="shared" si="15"/>
        <v>4.2912611581409461</v>
      </c>
      <c r="AC109" s="160"/>
      <c r="AD109" s="93"/>
      <c r="AE109" s="160"/>
      <c r="AF109" s="92"/>
      <c r="AG109" s="276"/>
      <c r="AH109" s="276"/>
    </row>
    <row r="110" spans="2:34" s="94" customFormat="1" ht="21" customHeight="1" x14ac:dyDescent="0.3">
      <c r="B110" s="286"/>
      <c r="C110" s="297" t="s">
        <v>86</v>
      </c>
      <c r="D110" s="292">
        <f>SUM(D90:D109)</f>
        <v>153300456.81334999</v>
      </c>
      <c r="E110" s="292">
        <f>SUM(E90:E109)</f>
        <v>207197226.85267049</v>
      </c>
      <c r="F110" s="292">
        <f t="shared" si="4"/>
        <v>360497683.66602051</v>
      </c>
      <c r="G110" s="292">
        <f>SUM(G90:G109)</f>
        <v>156432701.25999999</v>
      </c>
      <c r="H110" s="292">
        <f>SUM(H90:H109)</f>
        <v>227469651</v>
      </c>
      <c r="I110" s="292">
        <f t="shared" si="5"/>
        <v>383902352.25999999</v>
      </c>
      <c r="J110" s="293"/>
      <c r="K110" s="292">
        <f>SUM(K90:K109)</f>
        <v>187818571</v>
      </c>
      <c r="L110" s="292">
        <f>SUM(L90:L109)</f>
        <v>187818571</v>
      </c>
      <c r="M110" s="292" t="e">
        <f>#REF!+L110</f>
        <v>#REF!</v>
      </c>
      <c r="N110" s="292">
        <f>SUM(N90:N109)</f>
        <v>189146472</v>
      </c>
      <c r="O110" s="292">
        <f>SUM(O90:O109)</f>
        <v>275217284</v>
      </c>
      <c r="P110" s="292">
        <f>N110+O110</f>
        <v>464363756</v>
      </c>
      <c r="Q110" s="292">
        <f>SUM(Q90:Q109)</f>
        <v>217068130</v>
      </c>
      <c r="R110" s="292">
        <f t="shared" ref="R110:S110" si="16">SUM(R90:R109)</f>
        <v>358995084</v>
      </c>
      <c r="S110" s="292">
        <f t="shared" si="16"/>
        <v>576063214</v>
      </c>
      <c r="T110" s="298">
        <f>SUM(T90:T109)</f>
        <v>243469653</v>
      </c>
      <c r="U110" s="298">
        <v>288427422.80000001</v>
      </c>
      <c r="V110" s="298">
        <f>SUM(V90:V109)</f>
        <v>531897076</v>
      </c>
      <c r="W110" s="299">
        <f>SUM(W90:W109)</f>
        <v>99.999999999999986</v>
      </c>
      <c r="X110" s="299">
        <f t="shared" ref="X110:AB110" si="17">SUM(X90:X109)</f>
        <v>100</v>
      </c>
      <c r="Y110" s="299">
        <f t="shared" si="17"/>
        <v>26.3971055579823</v>
      </c>
      <c r="Z110" s="299"/>
      <c r="AA110" s="294">
        <f t="shared" si="17"/>
        <v>24.373268280161582</v>
      </c>
      <c r="AB110" s="294">
        <f t="shared" si="17"/>
        <v>99.999999999999986</v>
      </c>
      <c r="AC110" s="160"/>
      <c r="AD110" s="93"/>
      <c r="AE110" s="160"/>
      <c r="AG110" s="276"/>
    </row>
    <row r="111" spans="2:34" s="94" customFormat="1" ht="15" customHeight="1" x14ac:dyDescent="0.25">
      <c r="B111" s="286"/>
      <c r="I111" s="300"/>
      <c r="J111" s="300"/>
      <c r="Q111" s="296">
        <v>217068128</v>
      </c>
      <c r="R111" s="296">
        <v>358995084</v>
      </c>
      <c r="T111" s="296">
        <v>243469654</v>
      </c>
      <c r="U111" s="92">
        <v>288427423</v>
      </c>
      <c r="V111" s="92"/>
      <c r="W111" s="92"/>
      <c r="X111" s="92"/>
      <c r="Y111" s="92"/>
      <c r="Z111" s="92"/>
      <c r="AA111" s="295"/>
      <c r="AG111" s="276"/>
    </row>
    <row r="112" spans="2:34" s="94" customFormat="1" ht="15" customHeight="1" x14ac:dyDescent="0.25">
      <c r="B112" s="286"/>
      <c r="I112" s="300"/>
      <c r="J112" s="300"/>
      <c r="Q112" s="296">
        <v>217068129</v>
      </c>
      <c r="R112" s="296">
        <v>332231694</v>
      </c>
      <c r="T112" s="296">
        <v>243469654</v>
      </c>
      <c r="U112" s="301">
        <v>288427423</v>
      </c>
      <c r="AA112" s="276"/>
    </row>
    <row r="113" spans="2:27" s="94" customFormat="1" x14ac:dyDescent="0.25">
      <c r="B113" s="286"/>
      <c r="I113" s="300"/>
      <c r="J113" s="300"/>
      <c r="Q113" s="92">
        <f>Q110-Q112</f>
        <v>1</v>
      </c>
      <c r="R113" s="92">
        <f t="shared" ref="R113:U113" si="18">R110-R112</f>
        <v>26763390</v>
      </c>
      <c r="S113" s="92"/>
      <c r="T113" s="92">
        <f t="shared" si="18"/>
        <v>-1</v>
      </c>
      <c r="U113" s="92">
        <f t="shared" si="18"/>
        <v>-0.19999998807907104</v>
      </c>
      <c r="AA113" s="276"/>
    </row>
    <row r="114" spans="2:27" x14ac:dyDescent="0.25">
      <c r="S114" s="160"/>
    </row>
    <row r="115" spans="2:27" x14ac:dyDescent="0.25">
      <c r="S115" s="160"/>
    </row>
    <row r="116" spans="2:27" ht="18" x14ac:dyDescent="0.25">
      <c r="S116" s="290"/>
    </row>
  </sheetData>
  <mergeCells count="79">
    <mergeCell ref="N88:P88"/>
    <mergeCell ref="Q88:S88"/>
    <mergeCell ref="T88:V88"/>
    <mergeCell ref="C79:H79"/>
    <mergeCell ref="C80:H80"/>
    <mergeCell ref="C83:H83"/>
    <mergeCell ref="I83:K83"/>
    <mergeCell ref="C88:C89"/>
    <mergeCell ref="D88:F88"/>
    <mergeCell ref="G88:I88"/>
    <mergeCell ref="K88:L88"/>
    <mergeCell ref="C78:H78"/>
    <mergeCell ref="C65:H65"/>
    <mergeCell ref="C67:H67"/>
    <mergeCell ref="C68:H68"/>
    <mergeCell ref="C69:H69"/>
    <mergeCell ref="C70:H70"/>
    <mergeCell ref="C71:H71"/>
    <mergeCell ref="B72:K72"/>
    <mergeCell ref="C73:H73"/>
    <mergeCell ref="C74:H74"/>
    <mergeCell ref="C75:H75"/>
    <mergeCell ref="C77:H77"/>
    <mergeCell ref="C64:H64"/>
    <mergeCell ref="C44:H44"/>
    <mergeCell ref="B47:K47"/>
    <mergeCell ref="C48:H48"/>
    <mergeCell ref="C49:H49"/>
    <mergeCell ref="B52:K52"/>
    <mergeCell ref="C53:H53"/>
    <mergeCell ref="C54:H54"/>
    <mergeCell ref="B57:K57"/>
    <mergeCell ref="C58:H58"/>
    <mergeCell ref="C59:H59"/>
    <mergeCell ref="B63:K63"/>
    <mergeCell ref="C43:H43"/>
    <mergeCell ref="I43:K43"/>
    <mergeCell ref="C29:H29"/>
    <mergeCell ref="C30:H30"/>
    <mergeCell ref="B32:K32"/>
    <mergeCell ref="B37:K37"/>
    <mergeCell ref="C38:H38"/>
    <mergeCell ref="I38:K38"/>
    <mergeCell ref="C39:H39"/>
    <mergeCell ref="B42:K42"/>
    <mergeCell ref="L32:M32"/>
    <mergeCell ref="C33:H33"/>
    <mergeCell ref="C34:H34"/>
    <mergeCell ref="C22:H22"/>
    <mergeCell ref="C23:H23"/>
    <mergeCell ref="C25:H25"/>
    <mergeCell ref="C26:H26"/>
    <mergeCell ref="C27:H27"/>
    <mergeCell ref="C28:H28"/>
    <mergeCell ref="B21:K21"/>
    <mergeCell ref="C15:H15"/>
    <mergeCell ref="I15:K15"/>
    <mergeCell ref="C16:H16"/>
    <mergeCell ref="I16:K16"/>
    <mergeCell ref="C17:H17"/>
    <mergeCell ref="I17:K17"/>
    <mergeCell ref="C18:H18"/>
    <mergeCell ref="C19:H19"/>
    <mergeCell ref="I19:K19"/>
    <mergeCell ref="C20:H20"/>
    <mergeCell ref="I20:K20"/>
    <mergeCell ref="C12:H12"/>
    <mergeCell ref="I12:K12"/>
    <mergeCell ref="C13:H13"/>
    <mergeCell ref="I13:K13"/>
    <mergeCell ref="C14:H14"/>
    <mergeCell ref="I14:K14"/>
    <mergeCell ref="C10:H10"/>
    <mergeCell ref="I10:K10"/>
    <mergeCell ref="C4:K4"/>
    <mergeCell ref="B5:K5"/>
    <mergeCell ref="B6:H6"/>
    <mergeCell ref="B8:K8"/>
    <mergeCell ref="C9:H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4" zoomScale="90" zoomScaleNormal="90" workbookViewId="0">
      <selection activeCell="L34" sqref="L34"/>
    </sheetView>
  </sheetViews>
  <sheetFormatPr baseColWidth="10" defaultRowHeight="15" x14ac:dyDescent="0.25"/>
  <cols>
    <col min="1" max="1" width="2.77734375" style="65" customWidth="1"/>
    <col min="2" max="2" width="22.5546875" style="65" customWidth="1"/>
    <col min="3" max="3" width="23.77734375" style="65" customWidth="1"/>
    <col min="4" max="16384" width="11.5546875" style="65"/>
  </cols>
  <sheetData>
    <row r="2" spans="2:4" x14ac:dyDescent="0.25">
      <c r="B2" s="63"/>
      <c r="C2" s="63"/>
    </row>
    <row r="3" spans="2:4" x14ac:dyDescent="0.25">
      <c r="B3" s="438" t="s">
        <v>196</v>
      </c>
      <c r="C3" s="438"/>
    </row>
    <row r="4" spans="2:4" x14ac:dyDescent="0.25">
      <c r="B4" s="438"/>
      <c r="C4" s="438"/>
    </row>
    <row r="5" spans="2:4" ht="15.75" thickBot="1" x14ac:dyDescent="0.3">
      <c r="B5" s="66"/>
      <c r="C5" s="66"/>
    </row>
    <row r="6" spans="2:4" ht="15" customHeight="1" x14ac:dyDescent="0.25">
      <c r="B6" s="375" t="s">
        <v>88</v>
      </c>
      <c r="C6" s="375" t="s">
        <v>227</v>
      </c>
    </row>
    <row r="7" spans="2:4" x14ac:dyDescent="0.25">
      <c r="B7" s="376"/>
      <c r="C7" s="378"/>
    </row>
    <row r="8" spans="2:4" x14ac:dyDescent="0.25">
      <c r="B8" s="376"/>
      <c r="C8" s="378"/>
    </row>
    <row r="9" spans="2:4" ht="15.75" thickBot="1" x14ac:dyDescent="0.3">
      <c r="B9" s="377"/>
      <c r="C9" s="379"/>
    </row>
    <row r="10" spans="2:4" ht="24" customHeight="1" x14ac:dyDescent="0.25">
      <c r="B10" s="302" t="s">
        <v>66</v>
      </c>
      <c r="C10" s="303">
        <v>37309</v>
      </c>
      <c r="D10" s="304"/>
    </row>
    <row r="11" spans="2:4" ht="24" customHeight="1" x14ac:dyDescent="0.25">
      <c r="B11" s="302" t="s">
        <v>67</v>
      </c>
      <c r="C11" s="305">
        <v>15953</v>
      </c>
      <c r="D11" s="304"/>
    </row>
    <row r="12" spans="2:4" ht="24" customHeight="1" x14ac:dyDescent="0.25">
      <c r="B12" s="302" t="s">
        <v>68</v>
      </c>
      <c r="C12" s="306">
        <v>11851</v>
      </c>
      <c r="D12" s="304"/>
    </row>
    <row r="13" spans="2:4" ht="24" customHeight="1" x14ac:dyDescent="0.25">
      <c r="B13" s="302" t="s">
        <v>69</v>
      </c>
      <c r="C13" s="306">
        <v>150250</v>
      </c>
      <c r="D13" s="304"/>
    </row>
    <row r="14" spans="2:4" ht="24" customHeight="1" x14ac:dyDescent="0.25">
      <c r="B14" s="302" t="s">
        <v>70</v>
      </c>
      <c r="C14" s="306">
        <v>75520</v>
      </c>
      <c r="D14" s="304"/>
    </row>
    <row r="15" spans="2:4" ht="24" customHeight="1" x14ac:dyDescent="0.25">
      <c r="B15" s="302" t="s">
        <v>71</v>
      </c>
      <c r="C15" s="306">
        <v>42514</v>
      </c>
      <c r="D15" s="304"/>
    </row>
    <row r="16" spans="2:4" ht="24" customHeight="1" x14ac:dyDescent="0.25">
      <c r="B16" s="302" t="s">
        <v>72</v>
      </c>
      <c r="C16" s="306">
        <v>12614</v>
      </c>
      <c r="D16" s="304"/>
    </row>
    <row r="17" spans="2:4" ht="24" customHeight="1" x14ac:dyDescent="0.25">
      <c r="B17" s="302" t="s">
        <v>73</v>
      </c>
      <c r="C17" s="306">
        <v>29416</v>
      </c>
      <c r="D17" s="304"/>
    </row>
    <row r="18" spans="2:4" ht="24" customHeight="1" x14ac:dyDescent="0.25">
      <c r="B18" s="302" t="s">
        <v>74</v>
      </c>
      <c r="C18" s="306">
        <v>18580</v>
      </c>
      <c r="D18" s="304"/>
    </row>
    <row r="19" spans="2:4" ht="24" customHeight="1" x14ac:dyDescent="0.25">
      <c r="B19" s="302" t="s">
        <v>75</v>
      </c>
      <c r="C19" s="306">
        <v>14315</v>
      </c>
      <c r="D19" s="304"/>
    </row>
    <row r="20" spans="2:4" ht="24" customHeight="1" x14ac:dyDescent="0.25">
      <c r="B20" s="302" t="s">
        <v>76</v>
      </c>
      <c r="C20" s="306">
        <v>33901</v>
      </c>
      <c r="D20" s="304"/>
    </row>
    <row r="21" spans="2:4" ht="24" customHeight="1" x14ac:dyDescent="0.25">
      <c r="B21" s="302" t="s">
        <v>77</v>
      </c>
      <c r="C21" s="306">
        <v>24743</v>
      </c>
      <c r="D21" s="304"/>
    </row>
    <row r="22" spans="2:4" ht="24" customHeight="1" x14ac:dyDescent="0.25">
      <c r="B22" s="302" t="s">
        <v>78</v>
      </c>
      <c r="C22" s="306">
        <v>43979</v>
      </c>
      <c r="D22" s="304"/>
    </row>
    <row r="23" spans="2:4" ht="24" customHeight="1" x14ac:dyDescent="0.25">
      <c r="B23" s="302" t="s">
        <v>79</v>
      </c>
      <c r="C23" s="306">
        <v>7499</v>
      </c>
      <c r="D23" s="304"/>
    </row>
    <row r="24" spans="2:4" ht="24" customHeight="1" x14ac:dyDescent="0.25">
      <c r="B24" s="302" t="s">
        <v>80</v>
      </c>
      <c r="C24" s="306">
        <v>23477</v>
      </c>
      <c r="D24" s="304"/>
    </row>
    <row r="25" spans="2:4" ht="24" customHeight="1" x14ac:dyDescent="0.25">
      <c r="B25" s="302" t="s">
        <v>81</v>
      </c>
      <c r="C25" s="306">
        <v>97820</v>
      </c>
      <c r="D25" s="304"/>
    </row>
    <row r="26" spans="2:4" ht="24" customHeight="1" x14ac:dyDescent="0.25">
      <c r="B26" s="302" t="s">
        <v>82</v>
      </c>
      <c r="C26" s="306">
        <v>39718</v>
      </c>
      <c r="D26" s="304"/>
    </row>
    <row r="27" spans="2:4" ht="24" customHeight="1" x14ac:dyDescent="0.25">
      <c r="B27" s="302" t="s">
        <v>83</v>
      </c>
      <c r="C27" s="306">
        <v>413608</v>
      </c>
      <c r="D27" s="304"/>
    </row>
    <row r="28" spans="2:4" ht="24" customHeight="1" x14ac:dyDescent="0.25">
      <c r="B28" s="302" t="s">
        <v>84</v>
      </c>
      <c r="C28" s="306">
        <v>30565</v>
      </c>
      <c r="D28" s="304"/>
    </row>
    <row r="29" spans="2:4" ht="24" customHeight="1" thickBot="1" x14ac:dyDescent="0.3">
      <c r="B29" s="302" t="s">
        <v>85</v>
      </c>
      <c r="C29" s="306">
        <v>57418</v>
      </c>
      <c r="D29" s="304"/>
    </row>
    <row r="30" spans="2:4" ht="24" customHeight="1" thickBot="1" x14ac:dyDescent="0.3">
      <c r="B30" s="307" t="s">
        <v>86</v>
      </c>
      <c r="C30" s="308">
        <f>SUM(C10:C29)</f>
        <v>1181050</v>
      </c>
    </row>
    <row r="31" spans="2:4" x14ac:dyDescent="0.25">
      <c r="B31" s="63"/>
      <c r="C31" s="63"/>
    </row>
    <row r="32" spans="2:4" x14ac:dyDescent="0.25">
      <c r="B32" s="63" t="s">
        <v>197</v>
      </c>
      <c r="C32" s="63"/>
    </row>
    <row r="33" spans="2:2" x14ac:dyDescent="0.25">
      <c r="B33" s="202" t="s">
        <v>198</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PROVISIONALES</vt:lpstr>
      <vt:lpstr>DEFINITIVAS</vt:lpstr>
      <vt:lpstr>SALDO AJUSTES</vt:lpstr>
      <vt:lpstr>FGP</vt:lpstr>
      <vt:lpstr>FFM</vt:lpstr>
      <vt:lpstr>IEPS TyA</vt:lpstr>
      <vt:lpstr>FOFIR</vt:lpstr>
      <vt:lpstr>Datos!Área_de_impresión</vt:lpstr>
      <vt:lpstr>DEFINITIVAS!Área_de_impresión</vt:lpstr>
      <vt:lpstr>FFM!Área_de_impresión</vt:lpstr>
      <vt:lpstr>FGP!Área_de_impresión</vt:lpstr>
      <vt:lpstr>FOFIR!Área_de_impresión</vt:lpstr>
      <vt:lpstr>PROVISIONALES!Área_de_impresión</vt:lpstr>
      <vt:lpstr>'SALDO AJUSTES'!Área_de_impresión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2019-06-14T17:19:21Z</cp:lastPrinted>
  <dcterms:created xsi:type="dcterms:W3CDTF">2015-06-09T18:03:51Z</dcterms:created>
  <dcterms:modified xsi:type="dcterms:W3CDTF">2019-06-28T17:46:15Z</dcterms:modified>
</cp:coreProperties>
</file>